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E:\P2\Assessments\Food_study_table\"/>
    </mc:Choice>
  </mc:AlternateContent>
  <xr:revisionPtr revIDLastSave="0" documentId="10_ncr:100000_{06B1B611-5D5B-470C-A75C-1AF12E66E5A6}" xr6:coauthVersionLast="31" xr6:coauthVersionMax="31" xr10:uidLastSave="{00000000-0000-0000-0000-000000000000}"/>
  <bookViews>
    <workbookView xWindow="0" yWindow="0" windowWidth="19200" windowHeight="6312" xr2:uid="{00000000-000D-0000-FFFF-FFFF00000000}"/>
  </bookViews>
  <sheets>
    <sheet name="Info" sheetId="12" r:id="rId1"/>
    <sheet name="Input" sheetId="8" r:id="rId2"/>
    <sheet name="Subtotals" sheetId="11" r:id="rId3"/>
    <sheet name="Baseline" sheetId="15" r:id="rId4"/>
    <sheet name="Diversion" sheetId="13" r:id="rId5"/>
    <sheet name="Tax incentive" sheetId="14" r:id="rId6"/>
    <sheet name="Definitions" sheetId="6" r:id="rId7"/>
  </sheets>
  <definedNames>
    <definedName name="_xlnm.Print_Titles" localSheetId="1">Input!$5:$5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8" l="1"/>
  <c r="F7" i="8"/>
  <c r="F8" i="8"/>
  <c r="F9" i="8"/>
  <c r="F10" i="8"/>
  <c r="F11" i="8"/>
  <c r="F12" i="8"/>
  <c r="F13" i="8"/>
  <c r="B17" i="15"/>
  <c r="F24" i="15"/>
  <c r="F22" i="12" s="1"/>
  <c r="F23" i="15"/>
  <c r="F21" i="12" s="1"/>
  <c r="F22" i="15"/>
  <c r="F20" i="12" s="1"/>
  <c r="F21" i="15"/>
  <c r="F19" i="12" s="1"/>
  <c r="F20" i="15"/>
  <c r="F18" i="12" s="1"/>
  <c r="F19" i="15"/>
  <c r="F17" i="12" s="1"/>
  <c r="F17" i="15"/>
  <c r="F18" i="15"/>
  <c r="F16" i="12" s="1"/>
  <c r="E24" i="15"/>
  <c r="E22" i="12" s="1"/>
  <c r="E23" i="15"/>
  <c r="E21" i="12" s="1"/>
  <c r="E22" i="15"/>
  <c r="E20" i="12" s="1"/>
  <c r="E21" i="15"/>
  <c r="E19" i="12" s="1"/>
  <c r="E20" i="15"/>
  <c r="E18" i="12" s="1"/>
  <c r="E19" i="15"/>
  <c r="E17" i="15"/>
  <c r="E18" i="15"/>
  <c r="D24" i="15"/>
  <c r="D22" i="12" s="1"/>
  <c r="D23" i="15"/>
  <c r="D21" i="12" s="1"/>
  <c r="D22" i="15"/>
  <c r="D20" i="12" s="1"/>
  <c r="D21" i="15"/>
  <c r="D19" i="12" s="1"/>
  <c r="D20" i="15"/>
  <c r="D18" i="12" s="1"/>
  <c r="D19" i="15"/>
  <c r="D17" i="12" s="1"/>
  <c r="D17" i="15"/>
  <c r="D18" i="15"/>
  <c r="C24" i="15"/>
  <c r="C22" i="12" s="1"/>
  <c r="C23" i="15"/>
  <c r="C21" i="12" s="1"/>
  <c r="C22" i="15"/>
  <c r="C20" i="12" s="1"/>
  <c r="C21" i="15"/>
  <c r="C19" i="12" s="1"/>
  <c r="C20" i="15"/>
  <c r="C18" i="12" s="1"/>
  <c r="C19" i="15"/>
  <c r="C17" i="12" s="1"/>
  <c r="C17" i="15"/>
  <c r="C15" i="12" s="1"/>
  <c r="C18" i="15"/>
  <c r="B24" i="15"/>
  <c r="B23" i="15"/>
  <c r="B22" i="15"/>
  <c r="B20" i="12" s="1"/>
  <c r="B21" i="15"/>
  <c r="B20" i="15"/>
  <c r="B18" i="12" s="1"/>
  <c r="B19" i="15"/>
  <c r="B17" i="12" s="1"/>
  <c r="B18" i="15"/>
  <c r="B16" i="12" s="1"/>
  <c r="F15" i="12"/>
  <c r="E15" i="12"/>
  <c r="E16" i="12"/>
  <c r="D15" i="12"/>
  <c r="F5" i="15"/>
  <c r="F6" i="15"/>
  <c r="F7" i="15"/>
  <c r="F8" i="15"/>
  <c r="F9" i="15"/>
  <c r="F10" i="15"/>
  <c r="F11" i="15"/>
  <c r="F12" i="15"/>
  <c r="E5" i="15"/>
  <c r="E6" i="15"/>
  <c r="E7" i="15"/>
  <c r="E8" i="15"/>
  <c r="E9" i="15"/>
  <c r="E10" i="15"/>
  <c r="E11" i="15"/>
  <c r="E12" i="15"/>
  <c r="D5" i="15"/>
  <c r="D6" i="15"/>
  <c r="D7" i="15"/>
  <c r="D8" i="15"/>
  <c r="D9" i="15"/>
  <c r="D10" i="15"/>
  <c r="D11" i="15"/>
  <c r="D12" i="15"/>
  <c r="C6" i="15"/>
  <c r="C7" i="15"/>
  <c r="C8" i="15"/>
  <c r="C9" i="15"/>
  <c r="C10" i="15"/>
  <c r="C11" i="15"/>
  <c r="C12" i="15"/>
  <c r="C5" i="15"/>
  <c r="B5" i="15"/>
  <c r="B6" i="15"/>
  <c r="B7" i="15"/>
  <c r="B8" i="15"/>
  <c r="B9" i="15"/>
  <c r="B10" i="15"/>
  <c r="B11" i="15"/>
  <c r="B12" i="15"/>
  <c r="G11" i="15" l="1"/>
  <c r="G9" i="15"/>
  <c r="G10" i="15"/>
  <c r="G17" i="15"/>
  <c r="F23" i="12"/>
  <c r="F25" i="15"/>
  <c r="E25" i="15"/>
  <c r="E17" i="12"/>
  <c r="E23" i="12" s="1"/>
  <c r="G18" i="15"/>
  <c r="D16" i="12"/>
  <c r="D23" i="12" s="1"/>
  <c r="D25" i="15"/>
  <c r="G21" i="15"/>
  <c r="G24" i="15"/>
  <c r="C16" i="12"/>
  <c r="C23" i="12" s="1"/>
  <c r="C25" i="15"/>
  <c r="G23" i="15"/>
  <c r="G22" i="15"/>
  <c r="B19" i="12"/>
  <c r="G19" i="15"/>
  <c r="B21" i="12"/>
  <c r="B22" i="12"/>
  <c r="G20" i="15"/>
  <c r="B15" i="12"/>
  <c r="B25" i="15"/>
  <c r="G12" i="15"/>
  <c r="G8" i="15"/>
  <c r="G6" i="15"/>
  <c r="G7" i="15"/>
  <c r="G5" i="15"/>
  <c r="D13" i="15"/>
  <c r="E13" i="15"/>
  <c r="F13" i="15"/>
  <c r="F22" i="8"/>
  <c r="B6" i="13"/>
  <c r="C6" i="13" s="1"/>
  <c r="G16" i="12" s="1"/>
  <c r="B7" i="13"/>
  <c r="C7" i="13" s="1"/>
  <c r="G17" i="12" s="1"/>
  <c r="B8" i="13"/>
  <c r="C8" i="13" s="1"/>
  <c r="G18" i="12" s="1"/>
  <c r="B9" i="13"/>
  <c r="C9" i="13" s="1"/>
  <c r="G19" i="12" s="1"/>
  <c r="B10" i="13"/>
  <c r="C10" i="13" s="1"/>
  <c r="G20" i="12" s="1"/>
  <c r="B11" i="13"/>
  <c r="C11" i="13" s="1"/>
  <c r="G21" i="12" s="1"/>
  <c r="B12" i="13"/>
  <c r="C12" i="13" s="1"/>
  <c r="G22" i="12" s="1"/>
  <c r="B5" i="13"/>
  <c r="C5" i="13" s="1"/>
  <c r="G15" i="12" s="1"/>
  <c r="B17" i="13"/>
  <c r="C17" i="13" s="1"/>
  <c r="E17" i="13" s="1"/>
  <c r="H15" i="12" s="1"/>
  <c r="B18" i="13"/>
  <c r="C18" i="13" s="1"/>
  <c r="E18" i="13" s="1"/>
  <c r="H16" i="12" s="1"/>
  <c r="B19" i="13"/>
  <c r="C19" i="13" s="1"/>
  <c r="E19" i="13" s="1"/>
  <c r="H17" i="12" s="1"/>
  <c r="B20" i="13"/>
  <c r="C20" i="13" s="1"/>
  <c r="E20" i="13" s="1"/>
  <c r="H18" i="12" s="1"/>
  <c r="B21" i="13"/>
  <c r="C21" i="13" s="1"/>
  <c r="E21" i="13" s="1"/>
  <c r="H19" i="12" s="1"/>
  <c r="B22" i="13"/>
  <c r="C22" i="13" s="1"/>
  <c r="E22" i="13" s="1"/>
  <c r="H20" i="12" s="1"/>
  <c r="B23" i="13"/>
  <c r="C23" i="13" s="1"/>
  <c r="E23" i="13" s="1"/>
  <c r="H21" i="12" s="1"/>
  <c r="B24" i="13"/>
  <c r="B31" i="13"/>
  <c r="B32" i="13"/>
  <c r="B33" i="13"/>
  <c r="B34" i="13"/>
  <c r="B35" i="13"/>
  <c r="B36" i="13"/>
  <c r="B37" i="13"/>
  <c r="B30" i="13"/>
  <c r="G43" i="13"/>
  <c r="G44" i="13"/>
  <c r="G45" i="13"/>
  <c r="G46" i="13"/>
  <c r="G47" i="13"/>
  <c r="G48" i="13"/>
  <c r="G49" i="13"/>
  <c r="G42" i="13"/>
  <c r="B42" i="13"/>
  <c r="B43" i="13"/>
  <c r="B44" i="13"/>
  <c r="B45" i="13"/>
  <c r="B46" i="13"/>
  <c r="B47" i="13"/>
  <c r="B48" i="13"/>
  <c r="B49" i="13"/>
  <c r="G13" i="15" l="1"/>
  <c r="G25" i="15"/>
  <c r="C13" i="13"/>
  <c r="G23" i="12" s="1"/>
  <c r="B13" i="13"/>
  <c r="B23" i="12" l="1"/>
  <c r="B134" i="11"/>
  <c r="B143" i="11" s="1"/>
  <c r="H44" i="13"/>
  <c r="K17" i="12" s="1"/>
  <c r="H45" i="13"/>
  <c r="K18" i="12" s="1"/>
  <c r="H46" i="13"/>
  <c r="K19" i="12" s="1"/>
  <c r="H47" i="13"/>
  <c r="K20" i="12" s="1"/>
  <c r="H48" i="13"/>
  <c r="K21" i="12" s="1"/>
  <c r="H49" i="13"/>
  <c r="K22" i="12" s="1"/>
  <c r="H42" i="13"/>
  <c r="K15" i="12" s="1"/>
  <c r="H43" i="13"/>
  <c r="K16" i="12" s="1"/>
  <c r="C43" i="13"/>
  <c r="J16" i="12" s="1"/>
  <c r="C44" i="13"/>
  <c r="J17" i="12" s="1"/>
  <c r="C45" i="13"/>
  <c r="J18" i="12" s="1"/>
  <c r="C46" i="13"/>
  <c r="J19" i="12" s="1"/>
  <c r="C47" i="13"/>
  <c r="J20" i="12" s="1"/>
  <c r="C48" i="13"/>
  <c r="J21" i="12" s="1"/>
  <c r="C49" i="13"/>
  <c r="J22" i="12" s="1"/>
  <c r="C42" i="13"/>
  <c r="J15" i="12" s="1"/>
  <c r="D22" i="14"/>
  <c r="D24" i="14" s="1"/>
  <c r="B22" i="14"/>
  <c r="J23" i="12" l="1"/>
  <c r="K23" i="12"/>
  <c r="H50" i="13"/>
  <c r="G50" i="13"/>
  <c r="B50" i="13"/>
  <c r="C50" i="13"/>
  <c r="C31" i="13" l="1"/>
  <c r="C32" i="13"/>
  <c r="C33" i="13"/>
  <c r="C34" i="13"/>
  <c r="C35" i="13"/>
  <c r="C36" i="13"/>
  <c r="C37" i="13"/>
  <c r="C30" i="13"/>
  <c r="C24" i="13"/>
  <c r="E37" i="13" l="1"/>
  <c r="I22" i="12" s="1"/>
  <c r="E36" i="13"/>
  <c r="I21" i="12" s="1"/>
  <c r="E35" i="13"/>
  <c r="I20" i="12" s="1"/>
  <c r="E34" i="13"/>
  <c r="I19" i="12" s="1"/>
  <c r="E33" i="13"/>
  <c r="I18" i="12" s="1"/>
  <c r="E32" i="13"/>
  <c r="I17" i="12" s="1"/>
  <c r="E31" i="13"/>
  <c r="I16" i="12" s="1"/>
  <c r="E24" i="13"/>
  <c r="H22" i="12" s="1"/>
  <c r="H23" i="12" s="1"/>
  <c r="E25" i="13" l="1"/>
  <c r="B38" i="13"/>
  <c r="E30" i="13"/>
  <c r="B25" i="13"/>
  <c r="C25" i="13"/>
  <c r="E38" i="13" l="1"/>
  <c r="I15" i="12"/>
  <c r="I23" i="12" s="1"/>
  <c r="B13" i="15"/>
  <c r="C38" i="13"/>
  <c r="B135" i="11"/>
  <c r="B144" i="11" s="1"/>
  <c r="B136" i="11"/>
  <c r="B145" i="11" s="1"/>
  <c r="B137" i="11"/>
  <c r="B146" i="11" s="1"/>
  <c r="B138" i="11"/>
  <c r="B147" i="11" s="1"/>
  <c r="B139" i="11"/>
  <c r="B148" i="11" s="1"/>
  <c r="C13" i="15" l="1"/>
  <c r="B149" i="11"/>
  <c r="B13" i="11"/>
  <c r="B14" i="11"/>
  <c r="B15" i="11"/>
  <c r="B16" i="11"/>
  <c r="B17" i="11"/>
  <c r="F21" i="8" l="1"/>
  <c r="F23" i="8"/>
  <c r="F25" i="8"/>
  <c r="F18" i="8"/>
  <c r="C16" i="11" s="1"/>
  <c r="F19" i="8"/>
  <c r="C17" i="11" s="1"/>
  <c r="F24" i="8" l="1"/>
  <c r="D29" i="8"/>
  <c r="B101" i="11"/>
  <c r="B102" i="11"/>
  <c r="B103" i="11"/>
  <c r="B104" i="11"/>
  <c r="B105" i="11"/>
  <c r="B4" i="11"/>
  <c r="B5" i="11"/>
  <c r="B6" i="11"/>
  <c r="B7" i="11"/>
  <c r="B8" i="11"/>
  <c r="B9" i="11"/>
  <c r="B10" i="11"/>
  <c r="B11" i="11"/>
  <c r="B12" i="11"/>
  <c r="B68" i="11"/>
  <c r="B69" i="11"/>
  <c r="B70" i="11"/>
  <c r="B71" i="11"/>
  <c r="B72" i="11"/>
  <c r="B73" i="11"/>
  <c r="B35" i="11"/>
  <c r="B46" i="11" s="1"/>
  <c r="B36" i="11"/>
  <c r="B47" i="11" s="1"/>
  <c r="B37" i="11"/>
  <c r="B48" i="11" s="1"/>
  <c r="B38" i="11"/>
  <c r="B49" i="11" s="1"/>
  <c r="B39" i="11"/>
  <c r="B50" i="11" s="1"/>
  <c r="B40" i="11"/>
  <c r="B51" i="11" s="1"/>
  <c r="B41" i="11"/>
  <c r="B52" i="11" s="1"/>
  <c r="B42" i="11"/>
  <c r="B53" i="11" s="1"/>
  <c r="F20" i="8"/>
  <c r="F28" i="8"/>
  <c r="F27" i="8"/>
  <c r="F26" i="8"/>
  <c r="F17" i="8"/>
  <c r="C15" i="11" s="1"/>
  <c r="F16" i="8"/>
  <c r="C14" i="11" s="1"/>
  <c r="F15" i="8"/>
  <c r="C13" i="11" s="1"/>
  <c r="F14" i="8"/>
  <c r="C12" i="11" s="1"/>
  <c r="C11" i="11"/>
  <c r="C41" i="11"/>
  <c r="C52" i="11" s="1"/>
  <c r="C135" i="11"/>
  <c r="C136" i="11"/>
  <c r="C137" i="11"/>
  <c r="C138" i="11"/>
  <c r="C139" i="11"/>
  <c r="C40" i="11" l="1"/>
  <c r="C51" i="11" s="1"/>
  <c r="C134" i="11"/>
  <c r="C143" i="11" s="1"/>
  <c r="C101" i="11"/>
  <c r="C144" i="11"/>
  <c r="C105" i="11"/>
  <c r="C148" i="11"/>
  <c r="C104" i="11"/>
  <c r="C147" i="11"/>
  <c r="C5" i="11"/>
  <c r="C145" i="11"/>
  <c r="C6" i="11"/>
  <c r="C146" i="11"/>
  <c r="B54" i="11"/>
  <c r="F29" i="8"/>
  <c r="C4" i="11"/>
  <c r="C39" i="11"/>
  <c r="C50" i="11" s="1"/>
  <c r="C70" i="11"/>
  <c r="C37" i="11"/>
  <c r="C48" i="11" s="1"/>
  <c r="C103" i="11"/>
  <c r="C8" i="11"/>
  <c r="C42" i="11"/>
  <c r="C53" i="11" s="1"/>
  <c r="C36" i="11"/>
  <c r="C47" i="11" s="1"/>
  <c r="C73" i="11"/>
  <c r="C69" i="11"/>
  <c r="C7" i="11"/>
  <c r="C102" i="11"/>
  <c r="C35" i="11"/>
  <c r="C46" i="11" s="1"/>
  <c r="C72" i="11"/>
  <c r="C68" i="11"/>
  <c r="C10" i="11"/>
  <c r="C38" i="11"/>
  <c r="C49" i="11" s="1"/>
  <c r="C71" i="11"/>
  <c r="C9" i="11"/>
  <c r="C149" i="11" l="1"/>
  <c r="C54" i="11"/>
</calcChain>
</file>

<file path=xl/sharedStrings.xml><?xml version="1.0" encoding="utf-8"?>
<sst xmlns="http://schemas.openxmlformats.org/spreadsheetml/2006/main" count="403" uniqueCount="190">
  <si>
    <t>Produce</t>
  </si>
  <si>
    <t>Meat</t>
  </si>
  <si>
    <t>Cafeteria</t>
  </si>
  <si>
    <t xml:space="preserve">Grain Products                                  </t>
  </si>
  <si>
    <t xml:space="preserve">Fruits &amp; Vegetables                         </t>
  </si>
  <si>
    <t>Seafood</t>
  </si>
  <si>
    <t xml:space="preserve">Milk and Dairy                                   </t>
  </si>
  <si>
    <t>Beef</t>
  </si>
  <si>
    <t>Poultry</t>
  </si>
  <si>
    <t>Bread</t>
  </si>
  <si>
    <t>Price Basis</t>
  </si>
  <si>
    <t>Resource</t>
  </si>
  <si>
    <t>Link</t>
  </si>
  <si>
    <t>WARM calculation guidance</t>
  </si>
  <si>
    <t>ReFED</t>
  </si>
  <si>
    <t>Bureau of Labor Statistics (BLS)</t>
  </si>
  <si>
    <t>www.bls.gov/regions/mid-atlantic/data/AverageRetailFoodAndEnergyPrices_USandMidwest_Table.htm</t>
  </si>
  <si>
    <t>Definition</t>
  </si>
  <si>
    <t>When several food items of known price could not be separately weighed and therefore contributed to a combined weight, the average of known retail prices of all included items is used to calculate the cost.</t>
  </si>
  <si>
    <t>Food category</t>
  </si>
  <si>
    <t>Calculation</t>
  </si>
  <si>
    <t>Explanation</t>
  </si>
  <si>
    <t>Average of a group of items</t>
  </si>
  <si>
    <t xml:space="preserve">This is a standard average calculation where the sum of all items is divided by the number of items summed. </t>
  </si>
  <si>
    <t>Cost (assessment period)</t>
  </si>
  <si>
    <t>Estimated annual cost</t>
  </si>
  <si>
    <t>Estimated annual pounds landfilled</t>
  </si>
  <si>
    <t>Tier 1</t>
  </si>
  <si>
    <t>Data tier</t>
  </si>
  <si>
    <t>Tier 2</t>
  </si>
  <si>
    <t>Tier 3</t>
  </si>
  <si>
    <t>Tier 4</t>
  </si>
  <si>
    <r>
      <t xml:space="preserve">When the actual price per pound of a food item is not known, the current price is taken from the </t>
    </r>
    <r>
      <rPr>
        <i/>
        <sz val="11"/>
        <color theme="1"/>
        <rFont val="Calibri"/>
        <family val="2"/>
        <scheme val="minor"/>
      </rPr>
      <t>Average Retail Food and Energy Prices, U.S. and Midwest Region</t>
    </r>
    <r>
      <rPr>
        <sz val="11"/>
        <color theme="1"/>
        <rFont val="Calibri"/>
        <family val="2"/>
        <scheme val="minor"/>
      </rPr>
      <t xml:space="preserve"> by BLS, provided online (see resources, above). When a food item is not specifically listed there, category averages derived from 2015 BLS information and provided in ReFed's </t>
    </r>
    <r>
      <rPr>
        <i/>
        <sz val="11"/>
        <color theme="1"/>
        <rFont val="Calibri"/>
        <family val="2"/>
        <scheme val="minor"/>
      </rPr>
      <t>A Roadmap to Reduce US Food Waste by 20% - Techical Appendix</t>
    </r>
    <r>
      <rPr>
        <sz val="11"/>
        <color theme="1"/>
        <rFont val="Calibri"/>
        <family val="2"/>
        <scheme val="minor"/>
      </rPr>
      <t xml:space="preserve"> (see the table, below) are used.</t>
    </r>
  </si>
  <si>
    <t>www.epa.gov/warm/versions-waste-reduction-model-warm#WARM Tool V14</t>
  </si>
  <si>
    <t>www.epa.gov/sites/production/files/2016-04/documents/food_donation_guidance.pdf</t>
  </si>
  <si>
    <t>www.refed.com/download</t>
  </si>
  <si>
    <t>Food item</t>
  </si>
  <si>
    <t>Price basis</t>
  </si>
  <si>
    <t>Loss reason</t>
  </si>
  <si>
    <t>Food waste (non-meat)</t>
  </si>
  <si>
    <t>Food waste (meat-only)</t>
  </si>
  <si>
    <t>Grain</t>
  </si>
  <si>
    <t>Fruit and vegetable</t>
  </si>
  <si>
    <t>Dairy products</t>
  </si>
  <si>
    <t>Known</t>
  </si>
  <si>
    <t>Averaged</t>
  </si>
  <si>
    <t>Assumed</t>
  </si>
  <si>
    <t>Estimated</t>
  </si>
  <si>
    <t>Known price per pound of the food items provided by facility management.</t>
  </si>
  <si>
    <t>Manager or employee estimate of food prices not specifically known.</t>
  </si>
  <si>
    <t>Deli</t>
  </si>
  <si>
    <t>Kitchen</t>
  </si>
  <si>
    <t>Buffet</t>
  </si>
  <si>
    <t>Trimmings</t>
  </si>
  <si>
    <t>Excess</t>
  </si>
  <si>
    <t>Spill</t>
  </si>
  <si>
    <t>Aesthetic</t>
  </si>
  <si>
    <t>Spoilage</t>
  </si>
  <si>
    <t>Out-date</t>
  </si>
  <si>
    <t>Bakery</t>
  </si>
  <si>
    <t>Freezer</t>
  </si>
  <si>
    <t>Disposal</t>
  </si>
  <si>
    <t>Donation for people</t>
  </si>
  <si>
    <t>Donation for animals</t>
  </si>
  <si>
    <t>Industrial use</t>
  </si>
  <si>
    <t>Composting</t>
  </si>
  <si>
    <t>Landfill</t>
  </si>
  <si>
    <t>Eggs</t>
  </si>
  <si>
    <t>Pork chops</t>
  </si>
  <si>
    <t>Ground beef</t>
  </si>
  <si>
    <t>Chicken strips</t>
  </si>
  <si>
    <t>Sliced bread</t>
  </si>
  <si>
    <t>Fried rice</t>
  </si>
  <si>
    <t>Fruit salad</t>
  </si>
  <si>
    <t>Yogurt</t>
  </si>
  <si>
    <t>Cost</t>
  </si>
  <si>
    <t>Retail (per lb.)</t>
  </si>
  <si>
    <t>Wholesale (per lb.)</t>
  </si>
  <si>
    <t>Prices used for Tier 3 pricing of items not specifically listed by BLS. Data from ReFED Technical Appendix, pg. 19, Figure 13: The Value of Food by Category (Source: Bureau of Labor Statistics, 2015)</t>
  </si>
  <si>
    <t>EPA Waste Reduction Model tool, ver. 14</t>
  </si>
  <si>
    <t>Loss rate (%)</t>
  </si>
  <si>
    <t>WARM category</t>
  </si>
  <si>
    <r>
      <t>MTCO</t>
    </r>
    <r>
      <rPr>
        <b/>
        <vertAlign val="subscript"/>
        <sz val="11"/>
        <color theme="1"/>
        <rFont val="Calibri"/>
        <family val="2"/>
        <scheme val="minor"/>
      </rPr>
      <t>2</t>
    </r>
    <r>
      <rPr>
        <b/>
        <sz val="11"/>
        <color theme="1"/>
        <rFont val="Calibri"/>
        <family val="2"/>
        <scheme val="minor"/>
      </rPr>
      <t>e/ton</t>
    </r>
  </si>
  <si>
    <r>
      <t xml:space="preserve">Assumed loss rates and estimated greenhouse gas (GHG) emissions for food donations in WARM tool calcuations, from EPA's </t>
    </r>
    <r>
      <rPr>
        <i/>
        <sz val="11"/>
        <color theme="1"/>
        <rFont val="Calibri"/>
        <family val="2"/>
        <scheme val="minor"/>
      </rPr>
      <t>Modeling Food Donation in WARM</t>
    </r>
    <r>
      <rPr>
        <sz val="11"/>
        <color theme="1"/>
        <rFont val="Calibri"/>
        <family val="2"/>
        <scheme val="minor"/>
      </rPr>
      <t xml:space="preserve"> Tables 1 and 2 (pgs. 2 and 4) </t>
    </r>
  </si>
  <si>
    <t>A list of resources and links referred to in the following tables</t>
  </si>
  <si>
    <t>Price basis information including data tier and explanation</t>
  </si>
  <si>
    <t>Explanations of calculations in the food study table</t>
  </si>
  <si>
    <t>Date/Shift</t>
  </si>
  <si>
    <t>Dept./Section</t>
  </si>
  <si>
    <t>Header</t>
  </si>
  <si>
    <t>The name(s) of the food(s) weighed</t>
  </si>
  <si>
    <t>The weight recorded in pounds</t>
  </si>
  <si>
    <t>Weight (lbs.)</t>
  </si>
  <si>
    <t>Price (per lb.)</t>
  </si>
  <si>
    <t>The day or shift that the food waste was produced</t>
  </si>
  <si>
    <t>The department or section that produced the waste</t>
  </si>
  <si>
    <t>The price per pound of the food item weighed</t>
  </si>
  <si>
    <t>The product of the weight and price</t>
  </si>
  <si>
    <t>How the price information was obtained</t>
  </si>
  <si>
    <t>How the waste is categorized for WARM calculations</t>
  </si>
  <si>
    <t>The reason the food was disposed of</t>
  </si>
  <si>
    <t>Definitions of each header of the tracking form</t>
  </si>
  <si>
    <t>Totals</t>
  </si>
  <si>
    <t>The total weight of an item or subcatergory is multiplied by the associated price</t>
  </si>
  <si>
    <t>The cost for the observation period (one day) is multiplied by the assumed annual operating days</t>
  </si>
  <si>
    <t>The total weight of landfilled food items is multiplied by the assumed annual operating days</t>
  </si>
  <si>
    <t>Definitions and assumptions</t>
  </si>
  <si>
    <t>Assumed annual operating days:</t>
  </si>
  <si>
    <t>Cooler</t>
  </si>
  <si>
    <t>Dry storage</t>
  </si>
  <si>
    <t>Customer</t>
  </si>
  <si>
    <t>Dairy</t>
  </si>
  <si>
    <t>Frozen</t>
  </si>
  <si>
    <t>Grocery</t>
  </si>
  <si>
    <t>Tons of waste</t>
  </si>
  <si>
    <t>Facility:</t>
  </si>
  <si>
    <t>Address:</t>
  </si>
  <si>
    <t>[date of assessment]</t>
  </si>
  <si>
    <t>[PPI staff]</t>
  </si>
  <si>
    <t>[Name of facility]</t>
  </si>
  <si>
    <t>[Facility address]</t>
  </si>
  <si>
    <t xml:space="preserve">All weights are on a pre-consumer basis - plate waste was (not) evaluated. 'Price' is explained by  'Price basis' categories, which are defined on the page 'Definitions and assumptions'.  </t>
  </si>
  <si>
    <t>Alternative disposal</t>
  </si>
  <si>
    <t>Weight measurements were taken with a digital counting scale from Global Industrial, model 240878 (www.globalindustrial.com/p/packaging/scales/counting/electronic-counting-scale-60-lb-capacity).</t>
  </si>
  <si>
    <t>Date of assessment:</t>
  </si>
  <si>
    <t>Assessed by:</t>
  </si>
  <si>
    <t>Cost / value</t>
  </si>
  <si>
    <t>Annual estimates - alternative disposal</t>
  </si>
  <si>
    <t>Annual estimates - facility baseline</t>
  </si>
  <si>
    <t>Assessment information</t>
  </si>
  <si>
    <t>Contact phone:</t>
  </si>
  <si>
    <t>Contact email:</t>
  </si>
  <si>
    <t>[POC name, title]</t>
  </si>
  <si>
    <t>Facility point-of-contact:</t>
  </si>
  <si>
    <t>[POC phone number]</t>
  </si>
  <si>
    <t>[POC email address]</t>
  </si>
  <si>
    <t>Cost/value</t>
  </si>
  <si>
    <t>Assumed loss rate (%)</t>
  </si>
  <si>
    <t>Estimated annual diversion (tons)</t>
  </si>
  <si>
    <t>Basis value estimation for tax deduction calculation</t>
  </si>
  <si>
    <t>Items eligible to be donated for human consumption</t>
  </si>
  <si>
    <t>Total lbs.</t>
  </si>
  <si>
    <t>Basis value (per pound)</t>
  </si>
  <si>
    <t>Total basis value</t>
  </si>
  <si>
    <t>Spaghetti pasta</t>
  </si>
  <si>
    <t>Meatballs</t>
  </si>
  <si>
    <t>Tomato sauce</t>
  </si>
  <si>
    <t>Spinach</t>
  </si>
  <si>
    <t>Mixed vegetables</t>
  </si>
  <si>
    <t>Pork ribette</t>
  </si>
  <si>
    <t>Cheese</t>
  </si>
  <si>
    <t>Pudding cups</t>
  </si>
  <si>
    <t>Turkey</t>
  </si>
  <si>
    <t>Vegetables</t>
  </si>
  <si>
    <t>Pasta</t>
  </si>
  <si>
    <t>Potato</t>
  </si>
  <si>
    <t>Breading</t>
  </si>
  <si>
    <t>Mashed potatoes</t>
  </si>
  <si>
    <t>Gravy</t>
  </si>
  <si>
    <t>Estimated annual tax deduction</t>
  </si>
  <si>
    <t>The estimated annual tax deduction is calculated by multiplying the annual operating days by twice the estimated total daily basis value of food donated. More information about donation tax incentives, including example calculations, are available from ReFED at the link below. ReFED wholesale category average prices used for basis values in tax incentive estimates to avoid errors when retail values are used in the input table (for facilities such as grocery stores).</t>
  </si>
  <si>
    <t>www.refed.com/tools/food-waste-policy-finder/federal-policy/federal-tax-incentives</t>
  </si>
  <si>
    <t>Tax incentive for donations under alternative disposal recommendation</t>
  </si>
  <si>
    <t>Diversion estimates by alternative disposal method and WARM category</t>
  </si>
  <si>
    <t>Diversion to industrial use by WARM category</t>
  </si>
  <si>
    <t>Diversion to composting by WARM category</t>
  </si>
  <si>
    <t>Estimated    annual tons</t>
  </si>
  <si>
    <t>Donation (people)</t>
  </si>
  <si>
    <t>Donation (animals)</t>
  </si>
  <si>
    <t>Source reduction</t>
  </si>
  <si>
    <t>Date / shift</t>
  </si>
  <si>
    <t>Dept. / section</t>
  </si>
  <si>
    <t>Source reduction by WARM category</t>
  </si>
  <si>
    <t>Input measurements</t>
  </si>
  <si>
    <t>Subtotals</t>
  </si>
  <si>
    <t>Donations to feed people by WARM category</t>
  </si>
  <si>
    <t>Donations to feed animals by WARM category</t>
  </si>
  <si>
    <t>Industrial Use</t>
  </si>
  <si>
    <t>Donations to feed people</t>
  </si>
  <si>
    <t>Donations to feed animals</t>
  </si>
  <si>
    <t>Baseline estimate by disposal method and WARM category</t>
  </si>
  <si>
    <t>Summary of assessment measurements (pounds of waste by WARM category and disposal method)</t>
  </si>
  <si>
    <t>Annual baseline estimation (tons of waste per year by WARM category and disposal method)</t>
  </si>
  <si>
    <t>Study summary - annual estimates in tons of waste per year</t>
  </si>
  <si>
    <t>Estimated baseline</t>
  </si>
  <si>
    <t>Estimated impact of recommendations</t>
  </si>
  <si>
    <t>Current waste management (EPA recovery hierarchy)</t>
  </si>
  <si>
    <t>Recommended altervative waste management</t>
  </si>
  <si>
    <t>*Diversion estimates currently account for only diversion from the landfill. Actions that divert waste from other disposal methods is not accounted for, even if the alternative is more desirable under the EPA food recovery heirarchy.</t>
  </si>
  <si>
    <t>Food recovery assessment study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</si>
</sst>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theme="1"/>
      <name val="Calibri"/>
      <family val="2"/>
      <scheme val="minor"/>
    </font>
    <font>
      <b/>
      <i/>
      <sz val="10"/>
      <color theme="1"/>
      <name val="Calibri"/>
      <family val="2"/>
      <scheme val="minor"/>
    </font>
    <font>
      <i/>
      <sz val="11"/>
      <color theme="1"/>
      <name val="Calibri"/>
      <family val="2"/>
      <scheme val="minor"/>
    </font>
    <font>
      <sz val="12"/>
      <color theme="1"/>
      <name val="Calibri"/>
      <family val="2"/>
      <scheme val="minor"/>
    </font>
    <font>
      <sz val="12"/>
      <name val="Calibri"/>
      <family val="2"/>
      <scheme val="minor"/>
    </font>
    <font>
      <b/>
      <vertAlign val="subscript"/>
      <sz val="11"/>
      <color theme="1"/>
      <name val="Calibri"/>
      <family val="2"/>
      <scheme val="minor"/>
    </font>
    <font>
      <b/>
      <u/>
      <sz val="14"/>
      <color theme="1"/>
      <name val="Calibri"/>
      <family val="2"/>
      <scheme val="minor"/>
    </font>
    <font>
      <b/>
      <sz val="9"/>
      <color theme="1"/>
      <name val="Calibri"/>
      <family val="2"/>
      <scheme val="minor"/>
    </font>
    <font>
      <sz val="9"/>
      <color theme="1"/>
      <name val="Calibri"/>
      <family val="2"/>
      <scheme val="minor"/>
    </font>
    <font>
      <u/>
      <sz val="10"/>
      <color theme="10"/>
      <name val="Calibri"/>
      <family val="2"/>
      <scheme val="minor"/>
    </font>
    <font>
      <sz val="10"/>
      <color theme="1"/>
      <name val="Calibri"/>
      <family val="2"/>
      <scheme val="minor"/>
    </font>
    <font>
      <b/>
      <sz val="11"/>
      <name val="Calibri"/>
      <family val="2"/>
      <scheme val="minor"/>
    </font>
    <font>
      <b/>
      <sz val="9"/>
      <name val="Calibri"/>
      <family val="2"/>
      <scheme val="minor"/>
    </font>
    <font>
      <sz val="10"/>
      <name val="Calibri"/>
      <family val="2"/>
      <scheme val="minor"/>
    </font>
    <font>
      <sz val="14"/>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rgb="FF5B9BD5"/>
        <bgColor rgb="FF000000"/>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thin">
        <color auto="1"/>
      </right>
      <top/>
      <bottom style="medium">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medium">
        <color rgb="FF000000"/>
      </bottom>
      <diagonal/>
    </border>
    <border>
      <left style="medium">
        <color indexed="64"/>
      </left>
      <right style="thin">
        <color rgb="FF000000"/>
      </right>
      <top style="medium">
        <color rgb="FF000000"/>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392">
    <xf numFmtId="0" fontId="0" fillId="0" borderId="0" xfId="0"/>
    <xf numFmtId="0" fontId="0" fillId="0" borderId="0" xfId="0" applyAlignment="1">
      <alignment wrapText="1"/>
    </xf>
    <xf numFmtId="0" fontId="0" fillId="0" borderId="0" xfId="0" applyBorder="1"/>
    <xf numFmtId="0" fontId="0" fillId="0" borderId="0" xfId="0" applyBorder="1" applyAlignment="1">
      <alignment horizontal="left" vertical="center" wrapText="1"/>
    </xf>
    <xf numFmtId="0" fontId="0" fillId="0" borderId="0" xfId="0" applyBorder="1" applyAlignment="1">
      <alignment horizontal="left"/>
    </xf>
    <xf numFmtId="0" fontId="0" fillId="0" borderId="1" xfId="0" applyBorder="1" applyAlignment="1">
      <alignment horizontal="center"/>
    </xf>
    <xf numFmtId="0" fontId="0" fillId="0" borderId="23" xfId="0" applyFont="1" applyBorder="1" applyAlignment="1">
      <alignment horizontal="center" vertical="center" wrapText="1"/>
    </xf>
    <xf numFmtId="0" fontId="5" fillId="0" borderId="0" xfId="0" applyFont="1" applyAlignment="1">
      <alignment wrapText="1"/>
    </xf>
    <xf numFmtId="0" fontId="4" fillId="0" borderId="0" xfId="1" applyFont="1" applyBorder="1" applyAlignment="1">
      <alignment horizontal="left" vertical="center" wrapText="1"/>
    </xf>
    <xf numFmtId="0" fontId="3" fillId="0" borderId="0" xfId="1" applyBorder="1" applyAlignment="1">
      <alignment horizontal="left"/>
    </xf>
    <xf numFmtId="0" fontId="0" fillId="0" borderId="0" xfId="0" applyFont="1"/>
    <xf numFmtId="0" fontId="0" fillId="0" borderId="0" xfId="0" applyFont="1" applyAlignment="1">
      <alignment horizontal="center"/>
    </xf>
    <xf numFmtId="0" fontId="0" fillId="0" borderId="30" xfId="0" applyBorder="1"/>
    <xf numFmtId="0" fontId="0" fillId="0" borderId="0" xfId="0" applyFont="1" applyAlignment="1">
      <alignment wrapText="1"/>
    </xf>
    <xf numFmtId="0" fontId="0" fillId="0" borderId="30" xfId="0" applyFont="1" applyBorder="1" applyAlignment="1">
      <alignment wrapText="1"/>
    </xf>
    <xf numFmtId="0" fontId="0" fillId="0" borderId="46" xfId="0" applyBorder="1"/>
    <xf numFmtId="0" fontId="0" fillId="0" borderId="40" xfId="0" applyBorder="1" applyAlignment="1">
      <alignment horizontal="center"/>
    </xf>
    <xf numFmtId="164" fontId="0" fillId="0" borderId="47" xfId="0" applyNumberFormat="1" applyBorder="1" applyAlignment="1">
      <alignment horizontal="center"/>
    </xf>
    <xf numFmtId="164" fontId="0" fillId="0" borderId="40" xfId="0" applyNumberFormat="1" applyBorder="1" applyAlignment="1">
      <alignment horizontal="center"/>
    </xf>
    <xf numFmtId="0" fontId="0" fillId="0" borderId="48" xfId="0" applyBorder="1" applyAlignment="1">
      <alignment horizontal="center"/>
    </xf>
    <xf numFmtId="164" fontId="0" fillId="0" borderId="48" xfId="0" applyNumberFormat="1" applyBorder="1" applyAlignment="1">
      <alignment horizontal="center"/>
    </xf>
    <xf numFmtId="0" fontId="0" fillId="0" borderId="3" xfId="0"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0" fontId="0" fillId="5" borderId="4" xfId="0" applyFill="1" applyBorder="1" applyAlignment="1">
      <alignment horizontal="center"/>
    </xf>
    <xf numFmtId="164" fontId="0" fillId="0" borderId="21" xfId="0" applyNumberFormat="1" applyBorder="1" applyAlignment="1">
      <alignment horizontal="center"/>
    </xf>
    <xf numFmtId="0" fontId="0" fillId="0" borderId="1" xfId="0" applyBorder="1" applyAlignment="1">
      <alignment horizontal="center"/>
    </xf>
    <xf numFmtId="0" fontId="0" fillId="0" borderId="21" xfId="0"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0" fillId="0" borderId="3" xfId="0" applyFont="1" applyBorder="1" applyAlignment="1">
      <alignment horizontal="center" vertical="center" wrapText="1"/>
    </xf>
    <xf numFmtId="0" fontId="0" fillId="0" borderId="20" xfId="0" applyBorder="1"/>
    <xf numFmtId="0" fontId="0" fillId="0" borderId="1" xfId="0" applyNumberFormat="1" applyBorder="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5" xfId="0" applyFont="1" applyBorder="1" applyAlignment="1">
      <alignment horizontal="center" vertical="center"/>
    </xf>
    <xf numFmtId="0" fontId="0" fillId="0" borderId="45" xfId="0" applyFont="1" applyBorder="1" applyAlignment="1">
      <alignment horizontal="center" vertical="center" wrapText="1"/>
    </xf>
    <xf numFmtId="0" fontId="0" fillId="0" borderId="22" xfId="0" applyFont="1" applyBorder="1" applyAlignment="1">
      <alignment horizontal="center" vertical="center" wrapText="1"/>
    </xf>
    <xf numFmtId="2" fontId="0" fillId="0" borderId="1" xfId="0" applyNumberFormat="1" applyBorder="1" applyAlignment="1">
      <alignment horizontal="center"/>
    </xf>
    <xf numFmtId="2" fontId="0" fillId="0" borderId="3" xfId="0" applyNumberFormat="1" applyBorder="1" applyAlignment="1">
      <alignment horizontal="center"/>
    </xf>
    <xf numFmtId="0" fontId="7" fillId="0" borderId="37" xfId="0" applyFont="1" applyBorder="1" applyAlignment="1"/>
    <xf numFmtId="0" fontId="8" fillId="0" borderId="31" xfId="0" applyFont="1" applyBorder="1" applyAlignment="1"/>
    <xf numFmtId="0" fontId="0" fillId="0" borderId="1" xfId="0" applyBorder="1" applyAlignment="1">
      <alignment horizontal="center"/>
    </xf>
    <xf numFmtId="0" fontId="0" fillId="0" borderId="21" xfId="0" applyBorder="1" applyAlignment="1">
      <alignment horizontal="center"/>
    </xf>
    <xf numFmtId="0" fontId="0" fillId="0" borderId="1" xfId="0" applyBorder="1" applyAlignment="1">
      <alignment horizontal="center"/>
    </xf>
    <xf numFmtId="0" fontId="10" fillId="0" borderId="0" xfId="0" applyFont="1" applyAlignment="1">
      <alignment horizontal="center"/>
    </xf>
    <xf numFmtId="0" fontId="0" fillId="7" borderId="46" xfId="0" applyFill="1" applyBorder="1"/>
    <xf numFmtId="164" fontId="0" fillId="7" borderId="48" xfId="0" applyNumberFormat="1" applyFill="1" applyBorder="1" applyAlignment="1">
      <alignment horizontal="center"/>
    </xf>
    <xf numFmtId="2" fontId="0" fillId="7" borderId="3" xfId="0" applyNumberFormat="1" applyFill="1" applyBorder="1" applyAlignment="1">
      <alignment horizontal="center"/>
    </xf>
    <xf numFmtId="0" fontId="12" fillId="0" borderId="47"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4" borderId="58" xfId="0" applyFont="1" applyFill="1" applyBorder="1" applyAlignment="1">
      <alignment horizontal="center"/>
    </xf>
    <xf numFmtId="0" fontId="12" fillId="4" borderId="58" xfId="0" applyFont="1" applyFill="1" applyBorder="1" applyAlignment="1">
      <alignment horizontal="center" wrapText="1"/>
    </xf>
    <xf numFmtId="2" fontId="12" fillId="4" borderId="26" xfId="0" applyNumberFormat="1" applyFont="1" applyFill="1" applyBorder="1" applyAlignment="1">
      <alignment horizontal="center"/>
    </xf>
    <xf numFmtId="164" fontId="12" fillId="4" borderId="26" xfId="0" applyNumberFormat="1" applyFont="1" applyFill="1" applyBorder="1" applyAlignment="1">
      <alignment horizontal="center"/>
    </xf>
    <xf numFmtId="0" fontId="12" fillId="4" borderId="58" xfId="0" applyFont="1" applyFill="1" applyBorder="1" applyAlignment="1">
      <alignment horizontal="center" vertical="center" wrapText="1"/>
    </xf>
    <xf numFmtId="0" fontId="12" fillId="4" borderId="60" xfId="0" applyFont="1" applyFill="1" applyBorder="1" applyAlignment="1">
      <alignment horizontal="center"/>
    </xf>
    <xf numFmtId="0" fontId="12" fillId="4" borderId="59" xfId="0" applyFont="1" applyFill="1" applyBorder="1"/>
    <xf numFmtId="0" fontId="12" fillId="0" borderId="40" xfId="0" applyFont="1" applyFill="1" applyBorder="1" applyAlignment="1">
      <alignment horizontal="center" vertical="center"/>
    </xf>
    <xf numFmtId="0" fontId="12" fillId="0" borderId="43" xfId="0" applyFont="1" applyFill="1" applyBorder="1" applyAlignment="1">
      <alignment horizontal="center" vertical="center"/>
    </xf>
    <xf numFmtId="0" fontId="12" fillId="4" borderId="58" xfId="0" applyFont="1" applyFill="1" applyBorder="1" applyAlignment="1">
      <alignment horizontal="center" vertical="center"/>
    </xf>
    <xf numFmtId="0" fontId="0" fillId="0" borderId="0" xfId="0" applyAlignment="1"/>
    <xf numFmtId="0" fontId="12" fillId="4" borderId="25" xfId="0" applyFont="1" applyFill="1" applyBorder="1" applyAlignment="1">
      <alignment horizontal="center"/>
    </xf>
    <xf numFmtId="0" fontId="0" fillId="0" borderId="16" xfId="0" applyBorder="1" applyAlignment="1"/>
    <xf numFmtId="0" fontId="0" fillId="0" borderId="0" xfId="0" applyBorder="1" applyAlignment="1"/>
    <xf numFmtId="0" fontId="7" fillId="0" borderId="0" xfId="0" applyFont="1"/>
    <xf numFmtId="0" fontId="7" fillId="0" borderId="0" xfId="0" applyFont="1" applyAlignment="1"/>
    <xf numFmtId="0" fontId="7" fillId="0" borderId="0" xfId="0" applyFont="1" applyBorder="1"/>
    <xf numFmtId="0" fontId="0" fillId="7" borderId="62" xfId="0" applyFill="1" applyBorder="1"/>
    <xf numFmtId="2" fontId="0" fillId="7" borderId="55" xfId="0" applyNumberFormat="1" applyFill="1" applyBorder="1" applyAlignment="1">
      <alignment horizontal="center"/>
    </xf>
    <xf numFmtId="164" fontId="0" fillId="7" borderId="63" xfId="0" applyNumberFormat="1" applyFill="1" applyBorder="1" applyAlignment="1">
      <alignment horizontal="center"/>
    </xf>
    <xf numFmtId="14" fontId="7" fillId="0" borderId="64" xfId="0" applyNumberFormat="1" applyFont="1" applyBorder="1" applyAlignment="1"/>
    <xf numFmtId="0" fontId="7" fillId="0" borderId="11" xfId="0" applyFont="1" applyBorder="1" applyAlignment="1"/>
    <xf numFmtId="0" fontId="10" fillId="0" borderId="0" xfId="0" applyFont="1" applyAlignment="1">
      <alignment horizontal="center"/>
    </xf>
    <xf numFmtId="2" fontId="0" fillId="0" borderId="40" xfId="0" applyNumberFormat="1" applyBorder="1" applyAlignment="1">
      <alignment horizontal="center"/>
    </xf>
    <xf numFmtId="4" fontId="0" fillId="0" borderId="1" xfId="0" applyNumberFormat="1" applyBorder="1" applyAlignment="1">
      <alignment horizontal="center"/>
    </xf>
    <xf numFmtId="2" fontId="0" fillId="0" borderId="47" xfId="0" applyNumberFormat="1" applyBorder="1" applyAlignment="1">
      <alignment horizontal="center"/>
    </xf>
    <xf numFmtId="2" fontId="0" fillId="0" borderId="63" xfId="0" applyNumberFormat="1" applyBorder="1" applyAlignment="1">
      <alignment horizontal="center"/>
    </xf>
    <xf numFmtId="0" fontId="0" fillId="7" borderId="25" xfId="0" applyFill="1" applyBorder="1"/>
    <xf numFmtId="2" fontId="0" fillId="7" borderId="26" xfId="0" applyNumberFormat="1" applyFill="1" applyBorder="1" applyAlignment="1">
      <alignment horizontal="center"/>
    </xf>
    <xf numFmtId="0" fontId="0" fillId="7" borderId="58" xfId="0" applyFill="1" applyBorder="1" applyAlignment="1">
      <alignment horizontal="center"/>
    </xf>
    <xf numFmtId="2" fontId="0" fillId="7" borderId="4" xfId="0" applyNumberFormat="1" applyFill="1" applyBorder="1" applyAlignment="1">
      <alignment horizontal="center"/>
    </xf>
    <xf numFmtId="2" fontId="0" fillId="0" borderId="0" xfId="0" applyNumberFormat="1" applyBorder="1" applyAlignment="1">
      <alignment horizontal="center"/>
    </xf>
    <xf numFmtId="0" fontId="7" fillId="0" borderId="29" xfId="0" applyFont="1" applyBorder="1"/>
    <xf numFmtId="0" fontId="7" fillId="0" borderId="2" xfId="0" applyFont="1" applyBorder="1" applyAlignment="1">
      <alignment horizontal="center"/>
    </xf>
    <xf numFmtId="164" fontId="7" fillId="0" borderId="2" xfId="0" applyNumberFormat="1" applyFont="1" applyBorder="1" applyAlignment="1">
      <alignment horizontal="center"/>
    </xf>
    <xf numFmtId="164" fontId="7" fillId="0" borderId="47" xfId="0" applyNumberFormat="1" applyFont="1" applyBorder="1" applyAlignment="1">
      <alignment horizontal="center"/>
    </xf>
    <xf numFmtId="0" fontId="7" fillId="0" borderId="30" xfId="0" applyFont="1" applyBorder="1"/>
    <xf numFmtId="0" fontId="7" fillId="0" borderId="1" xfId="0" applyFont="1" applyBorder="1" applyAlignment="1">
      <alignment horizontal="center"/>
    </xf>
    <xf numFmtId="164" fontId="7" fillId="0" borderId="1" xfId="0" applyNumberFormat="1" applyFont="1" applyBorder="1" applyAlignment="1">
      <alignment horizontal="center"/>
    </xf>
    <xf numFmtId="164" fontId="7" fillId="0" borderId="40" xfId="0" applyNumberFormat="1" applyFont="1" applyBorder="1" applyAlignment="1">
      <alignment horizontal="center"/>
    </xf>
    <xf numFmtId="0" fontId="7" fillId="0" borderId="46" xfId="0" applyFont="1" applyBorder="1"/>
    <xf numFmtId="0" fontId="7" fillId="0" borderId="3" xfId="0" applyFont="1" applyBorder="1" applyAlignment="1">
      <alignment horizontal="center"/>
    </xf>
    <xf numFmtId="164" fontId="7" fillId="0" borderId="3" xfId="0" applyNumberFormat="1" applyFont="1" applyBorder="1" applyAlignment="1">
      <alignment horizontal="center"/>
    </xf>
    <xf numFmtId="164" fontId="7" fillId="0" borderId="48" xfId="0" applyNumberFormat="1" applyFont="1" applyBorder="1" applyAlignment="1">
      <alignment horizontal="center"/>
    </xf>
    <xf numFmtId="0" fontId="7" fillId="7" borderId="46" xfId="0" applyFont="1" applyFill="1" applyBorder="1"/>
    <xf numFmtId="0" fontId="7" fillId="7" borderId="3" xfId="0" applyFont="1" applyFill="1" applyBorder="1" applyAlignment="1">
      <alignment horizontal="center"/>
    </xf>
    <xf numFmtId="164" fontId="7" fillId="7" borderId="68" xfId="0" applyNumberFormat="1" applyFont="1" applyFill="1" applyBorder="1" applyAlignment="1">
      <alignment horizontal="center"/>
    </xf>
    <xf numFmtId="164" fontId="7" fillId="7" borderId="3" xfId="0" applyNumberFormat="1" applyFont="1" applyFill="1" applyBorder="1" applyAlignment="1">
      <alignment horizontal="center"/>
    </xf>
    <xf numFmtId="164" fontId="7" fillId="0" borderId="8" xfId="0" applyNumberFormat="1" applyFont="1" applyBorder="1" applyAlignment="1">
      <alignment horizontal="center"/>
    </xf>
    <xf numFmtId="0" fontId="10" fillId="0" borderId="0" xfId="0" applyFont="1" applyAlignment="1">
      <alignment horizontal="center"/>
    </xf>
    <xf numFmtId="0" fontId="7" fillId="0" borderId="0" xfId="0" applyFont="1" applyFill="1" applyBorder="1" applyAlignment="1">
      <alignment horizontal="center" vertical="center" wrapText="1"/>
    </xf>
    <xf numFmtId="0" fontId="0" fillId="0" borderId="0" xfId="0" applyFill="1"/>
    <xf numFmtId="0" fontId="0" fillId="0" borderId="0" xfId="0" applyFill="1" applyAlignment="1">
      <alignment wrapText="1"/>
    </xf>
    <xf numFmtId="0" fontId="0" fillId="0" borderId="30" xfId="0" applyBorder="1" applyAlignment="1">
      <alignment horizontal="left"/>
    </xf>
    <xf numFmtId="0" fontId="0" fillId="0" borderId="62" xfId="0" applyBorder="1" applyAlignment="1">
      <alignment horizontal="left"/>
    </xf>
    <xf numFmtId="2" fontId="0" fillId="0" borderId="55" xfId="0" applyNumberFormat="1" applyBorder="1" applyAlignment="1">
      <alignment horizontal="center"/>
    </xf>
    <xf numFmtId="164" fontId="0" fillId="0" borderId="63" xfId="0" applyNumberFormat="1" applyBorder="1" applyAlignment="1">
      <alignment horizontal="center"/>
    </xf>
    <xf numFmtId="0" fontId="0" fillId="0" borderId="0" xfId="0" applyFill="1" applyBorder="1"/>
    <xf numFmtId="2" fontId="0" fillId="0" borderId="0" xfId="0" applyNumberFormat="1" applyFill="1" applyBorder="1" applyAlignment="1">
      <alignment horizontal="center"/>
    </xf>
    <xf numFmtId="0" fontId="0" fillId="0" borderId="0" xfId="0" applyFill="1" applyBorder="1" applyAlignment="1">
      <alignment horizont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164" fontId="12" fillId="0" borderId="2" xfId="0" applyNumberFormat="1" applyFont="1" applyFill="1" applyBorder="1" applyAlignment="1">
      <alignment horizontal="center" vertical="center"/>
    </xf>
    <xf numFmtId="164" fontId="12" fillId="0" borderId="47" xfId="0" applyNumberFormat="1" applyFont="1" applyFill="1" applyBorder="1" applyAlignment="1">
      <alignment horizontal="center" vertical="center"/>
    </xf>
    <xf numFmtId="0" fontId="12" fillId="0" borderId="4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 xfId="0" applyFont="1" applyFill="1" applyBorder="1" applyAlignment="1">
      <alignment horizontal="center" vertical="center"/>
    </xf>
    <xf numFmtId="164" fontId="12" fillId="0" borderId="1" xfId="0" applyNumberFormat="1" applyFont="1" applyFill="1" applyBorder="1" applyAlignment="1">
      <alignment horizontal="center" vertical="center"/>
    </xf>
    <xf numFmtId="164" fontId="12" fillId="0" borderId="4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3" xfId="0" applyFont="1" applyFill="1" applyBorder="1" applyAlignment="1">
      <alignment horizontal="center" vertical="center"/>
    </xf>
    <xf numFmtId="164" fontId="12" fillId="0" borderId="23" xfId="0" applyNumberFormat="1" applyFont="1" applyFill="1" applyBorder="1" applyAlignment="1">
      <alignment horizontal="center" vertical="center"/>
    </xf>
    <xf numFmtId="164" fontId="12" fillId="0" borderId="43" xfId="0" applyNumberFormat="1" applyFont="1" applyFill="1" applyBorder="1" applyAlignment="1">
      <alignment horizontal="center" vertical="center"/>
    </xf>
    <xf numFmtId="0" fontId="12" fillId="0" borderId="23" xfId="0" applyFont="1" applyFill="1" applyBorder="1" applyAlignment="1">
      <alignment horizontal="center" vertical="center" wrapText="1"/>
    </xf>
    <xf numFmtId="14" fontId="12" fillId="0" borderId="27" xfId="0" applyNumberFormat="1" applyFont="1" applyFill="1" applyBorder="1" applyAlignment="1">
      <alignment horizontal="center" vertical="center" wrapText="1"/>
    </xf>
    <xf numFmtId="0" fontId="12" fillId="0" borderId="20" xfId="0" applyFont="1" applyFill="1" applyBorder="1" applyAlignment="1">
      <alignment horizontal="center" vertical="center"/>
    </xf>
    <xf numFmtId="14" fontId="12" fillId="0" borderId="20" xfId="0" applyNumberFormat="1" applyFont="1" applyFill="1" applyBorder="1" applyAlignment="1">
      <alignment horizontal="center" vertical="center" wrapText="1"/>
    </xf>
    <xf numFmtId="14" fontId="12" fillId="0" borderId="30" xfId="0" applyNumberFormat="1" applyFont="1" applyFill="1" applyBorder="1" applyAlignment="1">
      <alignment horizontal="center" vertical="center" wrapText="1"/>
    </xf>
    <xf numFmtId="14" fontId="12" fillId="0" borderId="22" xfId="0" applyNumberFormat="1" applyFont="1" applyFill="1" applyBorder="1" applyAlignment="1">
      <alignment horizontal="center" vertical="center" wrapText="1"/>
    </xf>
    <xf numFmtId="0" fontId="14" fillId="0" borderId="64" xfId="0" applyFont="1" applyBorder="1" applyAlignment="1">
      <alignment wrapText="1"/>
    </xf>
    <xf numFmtId="0" fontId="14" fillId="0" borderId="45" xfId="0" applyFont="1" applyBorder="1" applyAlignment="1">
      <alignment horizontal="center" wrapText="1"/>
    </xf>
    <xf numFmtId="0" fontId="14" fillId="0" borderId="3" xfId="0" applyFont="1" applyBorder="1" applyAlignment="1">
      <alignment horizontal="center" wrapText="1"/>
    </xf>
    <xf numFmtId="0" fontId="14" fillId="0" borderId="50" xfId="0" applyFont="1" applyBorder="1" applyAlignment="1">
      <alignment horizontal="center" wrapText="1"/>
    </xf>
    <xf numFmtId="0" fontId="10" fillId="0" borderId="0" xfId="0" applyFont="1" applyAlignment="1">
      <alignment horizontal="center" vertic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0" fillId="6" borderId="37" xfId="0" applyFill="1" applyBorder="1" applyAlignment="1">
      <alignment horizontal="center"/>
    </xf>
    <xf numFmtId="0" fontId="0" fillId="6" borderId="39" xfId="0" applyFill="1" applyBorder="1" applyAlignment="1">
      <alignment horizontal="center"/>
    </xf>
    <xf numFmtId="0" fontId="0" fillId="6" borderId="38"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0" fillId="6" borderId="8" xfId="0" applyFill="1" applyBorder="1" applyAlignment="1">
      <alignment horizontal="center"/>
    </xf>
    <xf numFmtId="0" fontId="10" fillId="0" borderId="0" xfId="0" applyFont="1" applyAlignment="1">
      <alignment horizontal="center"/>
    </xf>
    <xf numFmtId="0" fontId="0" fillId="6" borderId="7" xfId="0" applyFill="1" applyBorder="1" applyAlignment="1">
      <alignment horizontal="center"/>
    </xf>
    <xf numFmtId="0" fontId="0" fillId="6" borderId="10" xfId="0" applyFill="1" applyBorder="1" applyAlignment="1">
      <alignment horizontal="center"/>
    </xf>
    <xf numFmtId="0" fontId="0" fillId="6" borderId="9" xfId="0" applyFill="1" applyBorder="1" applyAlignment="1">
      <alignment horizontal="center"/>
    </xf>
    <xf numFmtId="0" fontId="14" fillId="8" borderId="37" xfId="0" applyFont="1" applyFill="1" applyBorder="1" applyAlignment="1">
      <alignment horizontal="left" vertical="center" wrapText="1"/>
    </xf>
    <xf numFmtId="0" fontId="14" fillId="8" borderId="39" xfId="0" applyFont="1" applyFill="1" applyBorder="1" applyAlignment="1">
      <alignment horizontal="left" vertical="center" wrapText="1"/>
    </xf>
    <xf numFmtId="0" fontId="14" fillId="8" borderId="38"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8" borderId="32" xfId="0" applyFont="1" applyFill="1" applyBorder="1" applyAlignment="1">
      <alignment horizontal="left" vertical="center" wrapText="1"/>
    </xf>
    <xf numFmtId="0" fontId="14" fillId="8" borderId="33" xfId="0" applyFont="1" applyFill="1" applyBorder="1" applyAlignment="1">
      <alignment horizontal="left" vertical="center" wrapText="1"/>
    </xf>
    <xf numFmtId="0" fontId="13" fillId="0" borderId="34" xfId="1" applyFont="1" applyBorder="1" applyAlignment="1">
      <alignment horizontal="left"/>
    </xf>
    <xf numFmtId="0" fontId="13" fillId="0" borderId="35" xfId="1" applyFont="1" applyBorder="1" applyAlignment="1">
      <alignment horizontal="left"/>
    </xf>
    <xf numFmtId="0" fontId="13" fillId="0" borderId="36" xfId="1" applyFont="1" applyBorder="1" applyAlignment="1">
      <alignment horizontal="left"/>
    </xf>
    <xf numFmtId="0" fontId="7" fillId="7" borderId="14" xfId="0" applyFont="1" applyFill="1" applyBorder="1" applyAlignment="1">
      <alignment horizontal="center"/>
    </xf>
    <xf numFmtId="0" fontId="7" fillId="7" borderId="15" xfId="0" applyFont="1" applyFill="1" applyBorder="1" applyAlignment="1">
      <alignment horizontal="center"/>
    </xf>
    <xf numFmtId="0" fontId="7" fillId="7" borderId="61" xfId="0" applyFont="1" applyFill="1" applyBorder="1" applyAlignment="1">
      <alignment horizontal="center"/>
    </xf>
    <xf numFmtId="0" fontId="0" fillId="0" borderId="22" xfId="0" applyBorder="1" applyAlignment="1">
      <alignment horizontal="left"/>
    </xf>
    <xf numFmtId="0" fontId="0" fillId="0" borderId="23" xfId="0" applyBorder="1" applyAlignment="1">
      <alignment horizontal="left"/>
    </xf>
    <xf numFmtId="164" fontId="0" fillId="0" borderId="23" xfId="0" applyNumberFormat="1" applyBorder="1" applyAlignment="1">
      <alignment horizontal="center"/>
    </xf>
    <xf numFmtId="164" fontId="0" fillId="0" borderId="24" xfId="0" applyNumberFormat="1" applyBorder="1" applyAlignment="1">
      <alignment horizontal="center"/>
    </xf>
    <xf numFmtId="164" fontId="0" fillId="0" borderId="1" xfId="0" applyNumberFormat="1" applyBorder="1" applyAlignment="1">
      <alignment horizontal="center"/>
    </xf>
    <xf numFmtId="164" fontId="0" fillId="0" borderId="21" xfId="0" applyNumberFormat="1" applyBorder="1" applyAlignment="1">
      <alignment horizontal="center"/>
    </xf>
    <xf numFmtId="0" fontId="0" fillId="0" borderId="20" xfId="0" applyBorder="1" applyAlignment="1">
      <alignment horizontal="left"/>
    </xf>
    <xf numFmtId="0" fontId="0" fillId="0" borderId="1" xfId="0" applyBorder="1" applyAlignment="1">
      <alignment horizontal="left"/>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4" xfId="0" applyFont="1" applyFill="1" applyBorder="1" applyAlignment="1">
      <alignment horizontal="center"/>
    </xf>
    <xf numFmtId="0" fontId="0" fillId="3" borderId="51" xfId="0" applyFont="1" applyFill="1" applyBorder="1" applyAlignment="1">
      <alignment horizontal="left"/>
    </xf>
    <xf numFmtId="0" fontId="0" fillId="3" borderId="52" xfId="0" applyFont="1" applyFill="1" applyBorder="1" applyAlignment="1">
      <alignment horizontal="left"/>
    </xf>
    <xf numFmtId="0" fontId="0" fillId="3" borderId="53" xfId="0" applyFont="1" applyFill="1" applyBorder="1" applyAlignment="1">
      <alignment horizontal="left"/>
    </xf>
    <xf numFmtId="0" fontId="0" fillId="3" borderId="7" xfId="0" applyFont="1" applyFill="1" applyBorder="1" applyAlignment="1">
      <alignment horizontal="left"/>
    </xf>
    <xf numFmtId="0" fontId="0" fillId="3" borderId="10" xfId="0" applyFont="1" applyFill="1" applyBorder="1" applyAlignment="1">
      <alignment horizontal="left"/>
    </xf>
    <xf numFmtId="0" fontId="0" fillId="3" borderId="9" xfId="0" applyFont="1" applyFill="1" applyBorder="1" applyAlignment="1">
      <alignment horizontal="left"/>
    </xf>
    <xf numFmtId="0" fontId="0" fillId="0" borderId="2" xfId="0" applyFont="1" applyBorder="1" applyAlignment="1">
      <alignment horizontal="left"/>
    </xf>
    <xf numFmtId="0" fontId="0" fillId="0" borderId="28" xfId="0" applyFont="1" applyBorder="1" applyAlignment="1">
      <alignment horizontal="left"/>
    </xf>
    <xf numFmtId="0" fontId="0" fillId="0" borderId="1" xfId="0" applyFont="1" applyBorder="1" applyAlignment="1">
      <alignment horizontal="left"/>
    </xf>
    <xf numFmtId="0" fontId="0" fillId="0" borderId="21" xfId="0" applyFont="1" applyBorder="1" applyAlignment="1">
      <alignment horizontal="left"/>
    </xf>
    <xf numFmtId="0" fontId="0" fillId="0" borderId="23" xfId="0" applyFont="1" applyBorder="1" applyAlignment="1">
      <alignment horizontal="left"/>
    </xf>
    <xf numFmtId="0" fontId="0" fillId="0" borderId="24" xfId="0" applyFont="1" applyBorder="1" applyAlignment="1">
      <alignment horizontal="left"/>
    </xf>
    <xf numFmtId="0" fontId="0" fillId="0" borderId="20" xfId="0" applyFont="1" applyFill="1" applyBorder="1" applyAlignment="1">
      <alignment horizontal="left" wrapText="1"/>
    </xf>
    <xf numFmtId="0" fontId="0" fillId="0" borderId="1" xfId="0" applyFont="1" applyFill="1" applyBorder="1" applyAlignment="1">
      <alignment horizontal="left" wrapText="1"/>
    </xf>
    <xf numFmtId="0" fontId="0" fillId="0" borderId="1" xfId="0" applyBorder="1" applyAlignment="1">
      <alignment horizontal="center"/>
    </xf>
    <xf numFmtId="0" fontId="0" fillId="0" borderId="21" xfId="0" applyBorder="1" applyAlignment="1">
      <alignment horizontal="center"/>
    </xf>
    <xf numFmtId="0" fontId="0" fillId="0" borderId="2"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 borderId="7" xfId="0" applyFill="1" applyBorder="1" applyAlignment="1">
      <alignment horizontal="left"/>
    </xf>
    <xf numFmtId="0" fontId="0" fillId="3" borderId="10" xfId="0" applyFill="1" applyBorder="1" applyAlignment="1">
      <alignment horizontal="left"/>
    </xf>
    <xf numFmtId="0" fontId="0" fillId="3" borderId="9" xfId="0" applyFill="1" applyBorder="1" applyAlignment="1">
      <alignment horizontal="left"/>
    </xf>
    <xf numFmtId="0" fontId="0" fillId="0" borderId="27" xfId="0" applyFont="1" applyFill="1" applyBorder="1" applyAlignment="1">
      <alignment horizontal="left" wrapText="1"/>
    </xf>
    <xf numFmtId="0" fontId="0" fillId="0" borderId="2" xfId="0" applyFont="1" applyFill="1" applyBorder="1" applyAlignment="1">
      <alignment horizontal="left" wrapText="1"/>
    </xf>
    <xf numFmtId="0" fontId="0" fillId="0" borderId="40"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8" xfId="0" applyFill="1" applyBorder="1" applyAlignment="1">
      <alignment horizontal="left" vertical="center" wrapText="1"/>
    </xf>
    <xf numFmtId="0" fontId="0" fillId="3" borderId="16" xfId="0" applyFill="1" applyBorder="1" applyAlignment="1">
      <alignment horizontal="left" vertical="center" wrapText="1"/>
    </xf>
    <xf numFmtId="0" fontId="0" fillId="3" borderId="0" xfId="0" applyFill="1" applyBorder="1" applyAlignment="1">
      <alignment horizontal="left" vertical="center" wrapText="1"/>
    </xf>
    <xf numFmtId="0" fontId="0" fillId="3" borderId="17"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0" borderId="43" xfId="0" applyBorder="1" applyAlignment="1">
      <alignment horizontal="center"/>
    </xf>
    <xf numFmtId="0" fontId="0" fillId="0" borderId="44" xfId="0" applyBorder="1" applyAlignment="1">
      <alignment horizontal="center"/>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44" xfId="0" applyBorder="1" applyAlignment="1" applyProtection="1">
      <alignment horizontal="left"/>
      <protection locked="0"/>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0" borderId="37" xfId="0" applyFont="1" applyBorder="1" applyAlignment="1">
      <alignment horizontal="left" vertical="center" wrapText="1"/>
    </xf>
    <xf numFmtId="0" fontId="0" fillId="0" borderId="39" xfId="0" applyFont="1" applyBorder="1" applyAlignment="1">
      <alignment horizontal="left" vertical="center" wrapText="1"/>
    </xf>
    <xf numFmtId="0" fontId="0" fillId="0" borderId="42" xfId="0" applyFont="1" applyBorder="1" applyAlignment="1">
      <alignment horizontal="left" vertical="center" wrapText="1"/>
    </xf>
    <xf numFmtId="0" fontId="0" fillId="0" borderId="41" xfId="0" applyBorder="1" applyAlignment="1">
      <alignment horizontal="left" vertical="center" wrapText="1"/>
    </xf>
    <xf numFmtId="0" fontId="0" fillId="0" borderId="39" xfId="0" applyBorder="1" applyAlignment="1">
      <alignment horizontal="left" vertical="center" wrapText="1"/>
    </xf>
    <xf numFmtId="0" fontId="0" fillId="0" borderId="38" xfId="0" applyBorder="1" applyAlignment="1">
      <alignment horizontal="left" vertical="center" wrapText="1"/>
    </xf>
    <xf numFmtId="0" fontId="0" fillId="0" borderId="43"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20" xfId="0" applyBorder="1" applyAlignment="1" applyProtection="1">
      <alignment horizontal="left"/>
      <protection locked="0"/>
    </xf>
    <xf numFmtId="0" fontId="0" fillId="0" borderId="1" xfId="0" applyBorder="1" applyAlignment="1" applyProtection="1">
      <alignment horizontal="left"/>
      <protection locked="0"/>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44" xfId="0" applyFont="1" applyBorder="1" applyAlignment="1">
      <alignment horizontal="left"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0" borderId="27" xfId="0" applyBorder="1" applyAlignment="1" applyProtection="1">
      <alignment horizontal="left"/>
      <protection locked="0"/>
    </xf>
    <xf numFmtId="0" fontId="0" fillId="0" borderId="2" xfId="0" applyBorder="1" applyAlignment="1" applyProtection="1">
      <alignment horizontal="left"/>
      <protection locked="0"/>
    </xf>
    <xf numFmtId="0" fontId="0" fillId="0" borderId="22" xfId="0" applyFont="1" applyFill="1" applyBorder="1" applyAlignment="1">
      <alignment horizontal="left"/>
    </xf>
    <xf numFmtId="0" fontId="0" fillId="0" borderId="23" xfId="0" applyFont="1" applyFill="1" applyBorder="1" applyAlignment="1">
      <alignment horizontal="left"/>
    </xf>
    <xf numFmtId="0" fontId="2" fillId="0" borderId="40"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7" xfId="0" applyBorder="1" applyAlignment="1">
      <alignment horizontal="left" vertical="center" wrapText="1"/>
    </xf>
    <xf numFmtId="0" fontId="1" fillId="2" borderId="5" xfId="0" applyFont="1" applyFill="1" applyBorder="1" applyAlignment="1">
      <alignment horizontal="center"/>
    </xf>
    <xf numFmtId="0" fontId="1" fillId="2" borderId="10" xfId="0" applyFont="1" applyFill="1" applyBorder="1" applyAlignment="1">
      <alignment horizontal="center"/>
    </xf>
    <xf numFmtId="0" fontId="1" fillId="2" borderId="9" xfId="0" applyFont="1" applyFill="1" applyBorder="1" applyAlignment="1">
      <alignment horizontal="center"/>
    </xf>
    <xf numFmtId="0" fontId="1" fillId="2" borderId="26" xfId="0" applyFont="1" applyFill="1" applyBorder="1" applyAlignment="1">
      <alignment horizontal="center" vertical="center"/>
    </xf>
    <xf numFmtId="0" fontId="1" fillId="2" borderId="4" xfId="0" applyFont="1" applyFill="1" applyBorder="1" applyAlignment="1">
      <alignment horizontal="center" vertical="center"/>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4" fillId="0" borderId="44" xfId="1" applyFont="1" applyBorder="1" applyAlignment="1">
      <alignment horizontal="left" vertical="center" wrapText="1"/>
    </xf>
    <xf numFmtId="0" fontId="3" fillId="0" borderId="43" xfId="1" applyBorder="1" applyAlignment="1">
      <alignment horizontal="left"/>
    </xf>
    <xf numFmtId="0" fontId="3" fillId="0" borderId="35" xfId="1" applyBorder="1" applyAlignment="1">
      <alignment horizontal="left"/>
    </xf>
    <xf numFmtId="0" fontId="3" fillId="0" borderId="36" xfId="1" applyBorder="1" applyAlignment="1">
      <alignment horizontal="left"/>
    </xf>
    <xf numFmtId="0" fontId="4" fillId="0" borderId="31" xfId="1" applyFont="1" applyBorder="1" applyAlignment="1">
      <alignment horizontal="left" vertical="center" wrapText="1"/>
    </xf>
    <xf numFmtId="0" fontId="4" fillId="0" borderId="32" xfId="1" applyFont="1" applyBorder="1" applyAlignment="1">
      <alignment horizontal="left" vertical="center" wrapText="1"/>
    </xf>
    <xf numFmtId="0" fontId="4" fillId="0" borderId="30" xfId="1" applyFont="1" applyBorder="1" applyAlignment="1">
      <alignment horizontal="left" vertical="center" wrapText="1"/>
    </xf>
    <xf numFmtId="0" fontId="1" fillId="2" borderId="7" xfId="0" applyFont="1" applyFill="1" applyBorder="1" applyAlignment="1">
      <alignment horizontal="center"/>
    </xf>
    <xf numFmtId="0" fontId="1" fillId="2" borderId="6" xfId="0" applyFont="1" applyFill="1" applyBorder="1" applyAlignment="1">
      <alignment horizontal="center"/>
    </xf>
    <xf numFmtId="0" fontId="3" fillId="0" borderId="40" xfId="1" applyBorder="1" applyAlignment="1">
      <alignment horizontal="left"/>
    </xf>
    <xf numFmtId="0" fontId="3" fillId="0" borderId="32" xfId="1" applyBorder="1" applyAlignment="1">
      <alignment horizontal="left"/>
    </xf>
    <xf numFmtId="0" fontId="3" fillId="0" borderId="33" xfId="1" applyBorder="1" applyAlignment="1">
      <alignment horizontal="left"/>
    </xf>
    <xf numFmtId="0" fontId="0" fillId="0" borderId="31" xfId="0" applyFont="1" applyBorder="1" applyAlignment="1">
      <alignment horizontal="left"/>
    </xf>
    <xf numFmtId="0" fontId="0" fillId="0" borderId="32" xfId="0" applyFont="1" applyBorder="1" applyAlignment="1">
      <alignment horizontal="left"/>
    </xf>
    <xf numFmtId="0" fontId="0" fillId="0" borderId="30" xfId="0" applyFont="1" applyBorder="1" applyAlignment="1">
      <alignment horizontal="left"/>
    </xf>
    <xf numFmtId="0" fontId="3" fillId="0" borderId="41" xfId="1" applyBorder="1" applyAlignment="1">
      <alignment horizontal="left" vertical="center" wrapText="1"/>
    </xf>
    <xf numFmtId="0" fontId="3" fillId="0" borderId="39" xfId="1" applyBorder="1" applyAlignment="1">
      <alignment horizontal="left" vertical="center" wrapText="1"/>
    </xf>
    <xf numFmtId="0" fontId="3" fillId="0" borderId="38" xfId="1" applyBorder="1" applyAlignment="1">
      <alignment horizontal="left" vertical="center" wrapText="1"/>
    </xf>
    <xf numFmtId="14" fontId="7" fillId="0" borderId="7" xfId="0" applyNumberFormat="1" applyFont="1" applyFill="1" applyBorder="1" applyAlignment="1">
      <alignment horizontal="center"/>
    </xf>
    <xf numFmtId="14" fontId="7" fillId="0" borderId="10" xfId="0" applyNumberFormat="1" applyFont="1" applyFill="1" applyBorder="1" applyAlignment="1">
      <alignment horizontal="center"/>
    </xf>
    <xf numFmtId="14" fontId="7" fillId="0" borderId="6" xfId="0" applyNumberFormat="1" applyFont="1" applyFill="1" applyBorder="1" applyAlignment="1">
      <alignment horizontal="center"/>
    </xf>
    <xf numFmtId="14" fontId="11" fillId="5" borderId="0" xfId="0" applyNumberFormat="1" applyFont="1" applyFill="1" applyBorder="1" applyAlignment="1">
      <alignment horizontal="left"/>
    </xf>
    <xf numFmtId="0" fontId="11" fillId="5" borderId="12" xfId="0" applyFont="1" applyFill="1" applyBorder="1" applyAlignment="1">
      <alignment horizontal="left"/>
    </xf>
    <xf numFmtId="2" fontId="0" fillId="0" borderId="32" xfId="0" applyNumberFormat="1" applyBorder="1" applyAlignment="1">
      <alignment horizontal="center"/>
    </xf>
    <xf numFmtId="0" fontId="2" fillId="0" borderId="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9" xfId="0" applyFont="1" applyBorder="1" applyAlignment="1">
      <alignment horizontal="center"/>
    </xf>
    <xf numFmtId="0" fontId="2" fillId="0" borderId="2" xfId="0" applyFont="1" applyBorder="1" applyAlignment="1">
      <alignment horizontal="center"/>
    </xf>
    <xf numFmtId="0" fontId="2" fillId="0" borderId="47" xfId="0" applyFont="1" applyBorder="1" applyAlignment="1">
      <alignment horizontal="center"/>
    </xf>
    <xf numFmtId="0" fontId="2" fillId="0" borderId="47" xfId="0" applyFont="1" applyBorder="1" applyAlignment="1">
      <alignment horizontal="center" wrapText="1"/>
    </xf>
    <xf numFmtId="0" fontId="2" fillId="0" borderId="2" xfId="0" applyFont="1" applyBorder="1" applyAlignment="1">
      <alignment horizont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7" borderId="4" xfId="0" applyFont="1" applyFill="1" applyBorder="1" applyAlignment="1">
      <alignment horizontal="center" vertical="center"/>
    </xf>
    <xf numFmtId="2" fontId="0" fillId="7" borderId="5" xfId="0" applyNumberFormat="1" applyFill="1" applyBorder="1" applyAlignment="1">
      <alignment horizontal="center"/>
    </xf>
    <xf numFmtId="0" fontId="15" fillId="0" borderId="27" xfId="0" applyFont="1" applyBorder="1" applyAlignment="1">
      <alignment horizontal="center" vertical="center" wrapText="1"/>
    </xf>
    <xf numFmtId="2" fontId="0" fillId="0" borderId="31" xfId="0" applyNumberFormat="1" applyBorder="1" applyAlignment="1">
      <alignment horizontal="center"/>
    </xf>
    <xf numFmtId="2" fontId="0" fillId="0" borderId="69" xfId="0" applyNumberFormat="1" applyBorder="1" applyAlignment="1">
      <alignment horizontal="center"/>
    </xf>
    <xf numFmtId="2" fontId="0" fillId="9" borderId="70" xfId="0" applyNumberFormat="1" applyFill="1" applyBorder="1" applyAlignment="1">
      <alignment horizontal="center"/>
    </xf>
    <xf numFmtId="0" fontId="7" fillId="5" borderId="41" xfId="0" applyFont="1" applyFill="1" applyBorder="1" applyAlignment="1">
      <alignment horizontal="center"/>
    </xf>
    <xf numFmtId="0" fontId="7" fillId="5" borderId="39" xfId="0" applyFont="1" applyFill="1" applyBorder="1" applyAlignment="1">
      <alignment horizontal="center"/>
    </xf>
    <xf numFmtId="0" fontId="7" fillId="5" borderId="38" xfId="0" applyFont="1" applyFill="1" applyBorder="1" applyAlignment="1">
      <alignment horizontal="center"/>
    </xf>
    <xf numFmtId="0" fontId="8" fillId="5" borderId="40" xfId="0" applyFont="1" applyFill="1" applyBorder="1" applyAlignment="1">
      <alignment horizontal="center"/>
    </xf>
    <xf numFmtId="0" fontId="8" fillId="5" borderId="32" xfId="0" applyFont="1" applyFill="1" applyBorder="1" applyAlignment="1">
      <alignment horizontal="center"/>
    </xf>
    <xf numFmtId="0" fontId="8" fillId="5" borderId="33" xfId="0" applyFont="1" applyFill="1" applyBorder="1" applyAlignment="1">
      <alignment horizontal="center"/>
    </xf>
    <xf numFmtId="14" fontId="7" fillId="5" borderId="40" xfId="0" applyNumberFormat="1" applyFont="1" applyFill="1" applyBorder="1" applyAlignment="1">
      <alignment horizontal="center"/>
    </xf>
    <xf numFmtId="14" fontId="7" fillId="5" borderId="32" xfId="0" applyNumberFormat="1" applyFont="1" applyFill="1" applyBorder="1" applyAlignment="1">
      <alignment horizontal="center"/>
    </xf>
    <xf numFmtId="14" fontId="7" fillId="5" borderId="33" xfId="0" applyNumberFormat="1" applyFont="1" applyFill="1" applyBorder="1" applyAlignment="1">
      <alignment horizontal="center"/>
    </xf>
    <xf numFmtId="0" fontId="7" fillId="5" borderId="40" xfId="0" applyFont="1" applyFill="1" applyBorder="1" applyAlignment="1">
      <alignment horizontal="center"/>
    </xf>
    <xf numFmtId="0" fontId="7" fillId="5" borderId="32" xfId="0" applyFont="1" applyFill="1" applyBorder="1" applyAlignment="1">
      <alignment horizontal="center"/>
    </xf>
    <xf numFmtId="0" fontId="7" fillId="5" borderId="33" xfId="0" applyFont="1" applyFill="1" applyBorder="1" applyAlignment="1">
      <alignment horizontal="center"/>
    </xf>
    <xf numFmtId="0" fontId="7" fillId="5" borderId="43" xfId="0" applyFont="1" applyFill="1" applyBorder="1" applyAlignment="1">
      <alignment horizontal="center"/>
    </xf>
    <xf numFmtId="0" fontId="7" fillId="5" borderId="35" xfId="0" applyFont="1" applyFill="1" applyBorder="1" applyAlignment="1">
      <alignment horizontal="center"/>
    </xf>
    <xf numFmtId="0" fontId="7" fillId="5" borderId="36" xfId="0" applyFont="1" applyFill="1" applyBorder="1" applyAlignment="1">
      <alignment horizontal="center"/>
    </xf>
    <xf numFmtId="0" fontId="2" fillId="0" borderId="6" xfId="0" applyFont="1" applyBorder="1" applyAlignment="1">
      <alignment horizontal="center"/>
    </xf>
    <xf numFmtId="0" fontId="2" fillId="0" borderId="26" xfId="0" applyFont="1" applyBorder="1" applyAlignment="1">
      <alignment horizontal="center"/>
    </xf>
    <xf numFmtId="0" fontId="2" fillId="0" borderId="5" xfId="0" applyFont="1" applyBorder="1" applyAlignment="1">
      <alignment horizontal="center"/>
    </xf>
    <xf numFmtId="2" fontId="0" fillId="7" borderId="6" xfId="0" applyNumberFormat="1" applyFill="1" applyBorder="1" applyAlignment="1">
      <alignment horizontal="center"/>
    </xf>
    <xf numFmtId="0" fontId="0" fillId="0" borderId="33" xfId="0" applyBorder="1"/>
    <xf numFmtId="0" fontId="0" fillId="0" borderId="57" xfId="0" applyBorder="1"/>
    <xf numFmtId="0" fontId="0" fillId="7" borderId="73" xfId="0" applyFill="1" applyBorder="1"/>
    <xf numFmtId="0" fontId="0" fillId="0" borderId="72" xfId="0" applyBorder="1"/>
    <xf numFmtId="2" fontId="0" fillId="0" borderId="71" xfId="0" applyNumberFormat="1" applyBorder="1" applyAlignment="1">
      <alignment horizontal="center"/>
    </xf>
    <xf numFmtId="2" fontId="0" fillId="0" borderId="74" xfId="0" applyNumberFormat="1" applyBorder="1" applyAlignment="1">
      <alignment horizontal="center"/>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3" xfId="0" applyFont="1" applyBorder="1" applyAlignment="1">
      <alignment horizontal="center" vertical="center" wrapText="1"/>
    </xf>
    <xf numFmtId="0" fontId="15" fillId="0" borderId="22" xfId="0" applyFont="1" applyBorder="1" applyAlignment="1">
      <alignment horizontal="center" vertical="center" wrapText="1"/>
    </xf>
    <xf numFmtId="14" fontId="14" fillId="0" borderId="64" xfId="0" applyNumberFormat="1" applyFont="1" applyBorder="1" applyAlignment="1"/>
    <xf numFmtId="0" fontId="14" fillId="0" borderId="31" xfId="0" applyFont="1" applyBorder="1" applyAlignment="1"/>
    <xf numFmtId="0" fontId="17" fillId="0" borderId="0" xfId="0" applyFont="1" applyBorder="1" applyAlignment="1">
      <alignment horizontal="center" vertical="center"/>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75"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66" xfId="0" applyFont="1" applyBorder="1" applyAlignment="1">
      <alignment horizontal="center" vertical="center"/>
    </xf>
    <xf numFmtId="0" fontId="14" fillId="0" borderId="64" xfId="0" applyFont="1" applyBorder="1" applyAlignment="1">
      <alignment horizontal="center"/>
    </xf>
    <xf numFmtId="0" fontId="14" fillId="0" borderId="49" xfId="0" applyFont="1" applyBorder="1" applyAlignment="1">
      <alignment horizontal="center"/>
    </xf>
    <xf numFmtId="0" fontId="14" fillId="0" borderId="57" xfId="0" applyFont="1" applyBorder="1" applyAlignment="1">
      <alignment horizontal="center"/>
    </xf>
    <xf numFmtId="2" fontId="14" fillId="0" borderId="19" xfId="0" applyNumberFormat="1" applyFont="1" applyBorder="1" applyAlignment="1">
      <alignment horizontal="center" vertical="center"/>
    </xf>
    <xf numFmtId="2" fontId="14" fillId="0" borderId="1" xfId="0" applyNumberFormat="1" applyFont="1" applyBorder="1" applyAlignment="1">
      <alignment horizontal="center" vertical="center"/>
    </xf>
    <xf numFmtId="2" fontId="14" fillId="0" borderId="3" xfId="0" applyNumberFormat="1" applyFont="1" applyBorder="1" applyAlignment="1">
      <alignment horizontal="center" vertical="center"/>
    </xf>
    <xf numFmtId="4" fontId="14" fillId="0" borderId="29" xfId="0" applyNumberFormat="1" applyFont="1" applyBorder="1" applyAlignment="1">
      <alignment horizontal="center" vertical="center"/>
    </xf>
    <xf numFmtId="4" fontId="14" fillId="0" borderId="30" xfId="0" applyNumberFormat="1" applyFont="1" applyBorder="1" applyAlignment="1">
      <alignment horizontal="center" vertical="center"/>
    </xf>
    <xf numFmtId="4" fontId="14" fillId="0" borderId="46" xfId="0" applyNumberFormat="1" applyFont="1" applyBorder="1" applyAlignment="1">
      <alignment horizontal="center" vertical="center"/>
    </xf>
    <xf numFmtId="2"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0" borderId="1" xfId="0" applyNumberFormat="1" applyFont="1" applyBorder="1" applyAlignment="1">
      <alignment horizontal="center" vertical="center"/>
    </xf>
    <xf numFmtId="4" fontId="14" fillId="0" borderId="3" xfId="0" applyNumberFormat="1" applyFont="1" applyBorder="1" applyAlignment="1">
      <alignment horizontal="center" vertical="center"/>
    </xf>
    <xf numFmtId="0" fontId="7" fillId="0" borderId="37" xfId="0" applyFont="1" applyBorder="1" applyAlignment="1">
      <alignment horizontal="center" wrapText="1"/>
    </xf>
    <xf numFmtId="0" fontId="7" fillId="0" borderId="39" xfId="0" applyFont="1" applyBorder="1" applyAlignment="1">
      <alignment horizontal="center" wrapText="1"/>
    </xf>
    <xf numFmtId="0" fontId="7" fillId="0" borderId="38" xfId="0" applyFont="1" applyBorder="1" applyAlignment="1">
      <alignment horizontal="center" wrapText="1"/>
    </xf>
    <xf numFmtId="0" fontId="7" fillId="0" borderId="16" xfId="0" applyFont="1" applyBorder="1" applyAlignment="1">
      <alignment wrapText="1"/>
    </xf>
    <xf numFmtId="0" fontId="14" fillId="0" borderId="16" xfId="0" applyFont="1" applyBorder="1" applyAlignment="1"/>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20" xfId="0" applyFont="1" applyFill="1" applyBorder="1" applyAlignment="1">
      <alignment horizontal="left"/>
    </xf>
    <xf numFmtId="0" fontId="0" fillId="0" borderId="1" xfId="0" applyFont="1" applyFill="1" applyBorder="1" applyAlignment="1">
      <alignment horizontal="left"/>
    </xf>
    <xf numFmtId="164" fontId="0" fillId="0" borderId="40" xfId="0" applyNumberFormat="1" applyBorder="1" applyAlignment="1">
      <alignment horizontal="center"/>
    </xf>
    <xf numFmtId="164" fontId="0" fillId="0" borderId="33" xfId="0" applyNumberFormat="1" applyBorder="1" applyAlignment="1">
      <alignment horizontal="center"/>
    </xf>
    <xf numFmtId="164" fontId="0" fillId="0" borderId="3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0" fillId="0" borderId="37" xfId="0" applyBorder="1" applyAlignment="1">
      <alignment horizontal="left"/>
    </xf>
    <xf numFmtId="0" fontId="0" fillId="0" borderId="39" xfId="0" applyBorder="1" applyAlignment="1">
      <alignment horizontal="left"/>
    </xf>
    <xf numFmtId="0" fontId="0" fillId="0" borderId="42" xfId="0" applyBorder="1" applyAlignment="1">
      <alignment horizontal="left"/>
    </xf>
    <xf numFmtId="0" fontId="0" fillId="3" borderId="14" xfId="0" applyFont="1" applyFill="1" applyBorder="1" applyAlignment="1">
      <alignment horizontal="left" vertical="center" wrapText="1"/>
    </xf>
    <xf numFmtId="0" fontId="0" fillId="3" borderId="15"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0" borderId="31" xfId="0" applyBorder="1" applyAlignment="1">
      <alignment horizontal="left"/>
    </xf>
    <xf numFmtId="0" fontId="0" fillId="0" borderId="32" xfId="0" applyBorder="1" applyAlignment="1">
      <alignment horizontal="left"/>
    </xf>
    <xf numFmtId="0" fontId="0" fillId="0" borderId="30" xfId="0" applyBorder="1" applyAlignment="1">
      <alignment horizontal="left"/>
    </xf>
    <xf numFmtId="164" fontId="0" fillId="0" borderId="38" xfId="0" applyNumberFormat="1" applyBorder="1" applyAlignment="1">
      <alignment horizontal="center"/>
    </xf>
    <xf numFmtId="0" fontId="18" fillId="0" borderId="0" xfId="0" applyFont="1" applyAlignment="1">
      <alignment horizontal="left" vertical="center" wrapText="1"/>
    </xf>
    <xf numFmtId="0" fontId="14" fillId="7" borderId="32" xfId="0" applyFont="1" applyFill="1" applyBorder="1"/>
    <xf numFmtId="2" fontId="14" fillId="7" borderId="20" xfId="0" applyNumberFormat="1" applyFont="1" applyFill="1" applyBorder="1" applyAlignment="1">
      <alignment horizontal="center" vertical="center"/>
    </xf>
    <xf numFmtId="2" fontId="14" fillId="7" borderId="1" xfId="0" applyNumberFormat="1" applyFont="1" applyFill="1" applyBorder="1" applyAlignment="1">
      <alignment horizontal="center" vertical="center"/>
    </xf>
    <xf numFmtId="4" fontId="14" fillId="7" borderId="30" xfId="0" applyNumberFormat="1" applyFont="1" applyFill="1" applyBorder="1" applyAlignment="1">
      <alignment horizontal="center" vertical="center"/>
    </xf>
    <xf numFmtId="2" fontId="14" fillId="0" borderId="42" xfId="0" applyNumberFormat="1" applyFont="1" applyBorder="1" applyAlignment="1">
      <alignment horizontal="center" vertical="center"/>
    </xf>
    <xf numFmtId="2" fontId="14" fillId="0" borderId="30" xfId="0" applyNumberFormat="1" applyFont="1" applyBorder="1" applyAlignment="1">
      <alignment horizontal="center" vertical="center"/>
    </xf>
    <xf numFmtId="2" fontId="14" fillId="0" borderId="46" xfId="0" applyNumberFormat="1" applyFont="1" applyBorder="1" applyAlignment="1">
      <alignment horizontal="center" vertical="center"/>
    </xf>
    <xf numFmtId="0" fontId="14" fillId="0" borderId="38" xfId="0" applyFont="1" applyBorder="1"/>
    <xf numFmtId="0" fontId="14" fillId="0" borderId="33" xfId="0" applyFont="1" applyBorder="1"/>
  </cellXfs>
  <cellStyles count="2">
    <cellStyle name="Hyperlink" xfId="1" builtinId="8"/>
    <cellStyle name="Normal" xfId="0" builtinId="0"/>
  </cellStyles>
  <dxfs count="208">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border diagonalUp="1" diagonalDown="0" outline="0">
        <left style="thin">
          <color indexed="64"/>
        </left>
        <right style="medium">
          <color indexed="64"/>
        </right>
        <top style="medium">
          <color indexed="64"/>
        </top>
        <bottom style="medium">
          <color indexed="64"/>
        </bottom>
        <diagonal style="thin">
          <color indexed="64"/>
        </diagonal>
      </border>
    </dxf>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alignment horizontal="center" vertical="bottom" textRotation="0" wrapText="0" indent="0" justifyLastLine="0" shrinkToFit="0" readingOrder="0"/>
      <border diagonalUp="1" diagonalDown="0" outline="0">
        <left style="thin">
          <color indexed="64"/>
        </left>
        <right/>
        <top style="medium">
          <color indexed="64"/>
        </top>
        <bottom style="medium">
          <color indexed="64"/>
        </bottom>
        <diagonal style="thin">
          <color indexed="64"/>
        </diagonal>
      </border>
    </dxf>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alignment horizontal="center" vertical="bottom" textRotation="0" wrapText="1" indent="0" justifyLastLine="0" shrinkToFit="0" readingOrder="0"/>
      <border diagonalUp="1" diagonalDown="0" outline="0">
        <left style="thin">
          <color indexed="64"/>
        </left>
        <right style="thin">
          <color indexed="64"/>
        </right>
        <top style="medium">
          <color indexed="64"/>
        </top>
        <bottom style="medium">
          <color indexed="64"/>
        </bottom>
        <diagonal style="thin">
          <color indexed="64"/>
        </diagonal>
      </border>
    </dxf>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alignment horizontal="center" vertical="center" textRotation="0" wrapText="0" indent="0" justifyLastLine="0" shrinkToFit="0" readingOrder="0"/>
      <border diagonalUp="1" diagonalDown="0" outline="0">
        <left style="thin">
          <color indexed="64"/>
        </left>
        <right style="thin">
          <color indexed="64"/>
        </right>
        <top style="medium">
          <color indexed="64"/>
        </top>
        <bottom style="medium">
          <color indexed="64"/>
        </bottom>
        <diagonal style="thin">
          <color indexed="64"/>
        </diagonal>
      </border>
    </dxf>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alignment horizontal="center" vertical="center" textRotation="0" wrapText="1" indent="0" justifyLastLine="0" shrinkToFit="0" readingOrder="0"/>
      <border diagonalUp="1" diagonalDown="0" outline="0">
        <left style="thin">
          <color indexed="64"/>
        </left>
        <right style="thin">
          <color indexed="64"/>
        </right>
        <top style="medium">
          <color indexed="64"/>
        </top>
        <bottom style="medium">
          <color indexed="64"/>
        </bottom>
        <diagonal style="thin">
          <color indexed="64"/>
        </diagonal>
      </border>
    </dxf>
    <dxf>
      <font>
        <b val="0"/>
        <i val="0"/>
        <strike val="0"/>
        <condense val="0"/>
        <extend val="0"/>
        <outline val="0"/>
        <shadow val="0"/>
        <u val="none"/>
        <vertAlign val="baseline"/>
        <sz val="9"/>
        <color theme="1"/>
        <name val="Calibri"/>
        <family val="2"/>
        <scheme val="minor"/>
      </font>
      <numFmt numFmtId="164" formatCode="&quot;$&quot;#,##0.00"/>
      <fill>
        <patternFill patternType="solid">
          <fgColor indexed="64"/>
          <bgColor theme="4" tint="0.399975585192419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alignment horizontal="center" vertical="bottom" textRotation="0" wrapText="0" indent="0" justifyLastLine="0" shrinkToFit="0" readingOrder="0"/>
      <border diagonalUp="1" diagonalDown="0" outline="0">
        <left style="thin">
          <color indexed="64"/>
        </left>
        <right style="thin">
          <color indexed="64"/>
        </right>
        <top style="medium">
          <color indexed="64"/>
        </top>
        <bottom style="medium">
          <color indexed="64"/>
        </bottom>
        <diagonal style="thin">
          <color indexed="64"/>
        </diagonal>
      </border>
    </dxf>
    <dxf>
      <font>
        <b val="0"/>
        <i val="0"/>
        <strike val="0"/>
        <condense val="0"/>
        <extend val="0"/>
        <outline val="0"/>
        <shadow val="0"/>
        <u val="none"/>
        <vertAlign val="baseline"/>
        <sz val="9"/>
        <color theme="1"/>
        <name val="Calibri"/>
        <family val="2"/>
        <scheme val="minor"/>
      </font>
      <numFmt numFmtId="2" formatCode="0.00"/>
      <fill>
        <patternFill patternType="solid">
          <fgColor indexed="64"/>
          <bgColor theme="4" tint="0.39997558519241921"/>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alignment horizontal="center" vertical="bottom" textRotation="0" wrapText="1" indent="0" justifyLastLine="0" shrinkToFit="0" readingOrder="0"/>
      <border diagonalUp="1" diagonalDown="0" outline="0">
        <left style="thin">
          <color indexed="64"/>
        </left>
        <right style="thin">
          <color indexed="64"/>
        </right>
        <top style="medium">
          <color indexed="64"/>
        </top>
        <bottom style="medium">
          <color indexed="64"/>
        </bottom>
        <diagonal style="thin">
          <color indexed="64"/>
        </diagonal>
      </border>
    </dxf>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alignment horizontal="center" vertical="bottom" textRotation="0" wrapText="0" indent="0" justifyLastLine="0" shrinkToFit="0" readingOrder="0"/>
      <border diagonalUp="1" diagonalDown="0" outline="0">
        <left style="thin">
          <color indexed="64"/>
        </left>
        <right style="thin">
          <color indexed="64"/>
        </right>
        <top style="medium">
          <color indexed="64"/>
        </top>
        <bottom style="medium">
          <color indexed="64"/>
        </bottom>
        <diagonal style="thin">
          <color indexed="64"/>
        </diagonal>
      </border>
    </dxf>
    <dxf>
      <font>
        <b val="0"/>
        <i val="0"/>
        <strike val="0"/>
        <condense val="0"/>
        <extend val="0"/>
        <outline val="0"/>
        <shadow val="0"/>
        <u val="none"/>
        <vertAlign val="baseline"/>
        <sz val="9"/>
        <color theme="1"/>
        <name val="Calibri"/>
        <family val="2"/>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outline="0">
        <left style="medium">
          <color indexed="64"/>
        </left>
        <right style="thin">
          <color indexed="64"/>
        </right>
        <top style="medium">
          <color indexed="64"/>
        </top>
        <bottom style="medium">
          <color indexed="64"/>
        </bottom>
      </border>
    </dxf>
    <dxf>
      <font>
        <strike val="0"/>
        <outline val="0"/>
        <shadow val="0"/>
        <u val="none"/>
        <vertAlign val="baseline"/>
        <sz val="9"/>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auto="1"/>
        </left>
        <right style="medium">
          <color auto="1"/>
        </right>
        <top style="thin">
          <color auto="1"/>
        </top>
        <bottom style="thin">
          <color auto="1"/>
        </bottom>
      </border>
    </dxf>
    <dxf>
      <font>
        <strike val="0"/>
        <outline val="0"/>
        <shadow val="0"/>
        <u val="none"/>
        <vertAlign val="baseline"/>
        <sz val="9"/>
        <color theme="1"/>
        <name val="Calibri"/>
        <scheme val="minor"/>
      </font>
      <alignment horizontal="center" vertical="center" textRotation="0" indent="0" justifyLastLine="0" shrinkToFit="0" readingOrder="0"/>
    </dxf>
    <dxf>
      <font>
        <strike val="0"/>
        <outline val="0"/>
        <shadow val="0"/>
        <u val="none"/>
        <vertAlign val="baseline"/>
        <sz val="9"/>
        <color theme="1"/>
        <name val="Calibri"/>
        <scheme val="minor"/>
      </font>
      <alignment horizontal="center" vertical="center" textRotation="0" indent="0" justifyLastLine="0" shrinkToFit="0" readingOrder="0"/>
    </dxf>
    <dxf>
      <font>
        <strike val="0"/>
        <outline val="0"/>
        <shadow val="0"/>
        <u val="none"/>
        <vertAlign val="baseline"/>
        <sz val="9"/>
        <color theme="1"/>
        <name val="Calibri"/>
        <scheme val="minor"/>
      </font>
      <alignment horizontal="center" vertical="center" textRotation="0" wrapText="0" indent="0" justifyLastLine="0" shrinkToFit="0" readingOrder="0"/>
    </dxf>
    <dxf>
      <font>
        <strike val="0"/>
        <outline val="0"/>
        <shadow val="0"/>
        <u val="none"/>
        <vertAlign val="baseline"/>
        <sz val="9"/>
        <color theme="1"/>
        <name val="Calibri"/>
        <scheme val="minor"/>
      </font>
      <alignment horizontal="center" vertical="center" textRotation="0" indent="0" justifyLastLine="0" shrinkToFit="0" readingOrder="0"/>
    </dxf>
    <dxf>
      <font>
        <strike val="0"/>
        <outline val="0"/>
        <shadow val="0"/>
        <u val="none"/>
        <vertAlign val="baseline"/>
        <sz val="9"/>
        <color theme="1"/>
        <name val="Calibri"/>
        <scheme val="minor"/>
      </font>
      <alignment horizontal="center" vertical="center" textRotation="0" indent="0" justifyLastLine="0" shrinkToFit="0" readingOrder="0"/>
    </dxf>
    <dxf>
      <font>
        <strike val="0"/>
        <outline val="0"/>
        <shadow val="0"/>
        <u val="none"/>
        <vertAlign val="baseline"/>
        <sz val="9"/>
        <color theme="1"/>
        <name val="Calibri"/>
        <scheme val="minor"/>
      </font>
      <alignment horizontal="center" vertical="center" textRotation="0" indent="0" justifyLastLine="0" shrinkToFit="0" readingOrder="0"/>
    </dxf>
    <dxf>
      <font>
        <strike val="0"/>
        <outline val="0"/>
        <shadow val="0"/>
        <u val="none"/>
        <vertAlign val="baseline"/>
        <sz val="9"/>
        <color theme="1"/>
        <name val="Calibri"/>
        <scheme val="minor"/>
      </font>
      <alignment horizontal="center" vertical="center" textRotation="0" indent="0" justifyLastLine="0" shrinkToFit="0" readingOrder="0"/>
    </dxf>
    <dxf>
      <font>
        <strike val="0"/>
        <outline val="0"/>
        <shadow val="0"/>
        <u val="none"/>
        <vertAlign val="baseline"/>
        <sz val="9"/>
        <color theme="1"/>
        <name val="Calibri"/>
        <scheme val="minor"/>
      </font>
      <alignment horizontal="center" vertical="center" textRotation="0" indent="0" justifyLastLine="0" shrinkToFit="0" readingOrder="0"/>
    </dxf>
    <dxf>
      <font>
        <strike val="0"/>
        <outline val="0"/>
        <shadow val="0"/>
        <u val="none"/>
        <vertAlign val="baseline"/>
        <sz val="9"/>
        <color theme="1"/>
        <name val="Calibri"/>
        <scheme val="minor"/>
      </font>
      <alignment horizontal="center" vertical="center" textRotation="0" indent="0" justifyLastLine="0" shrinkToFit="0" readingOrder="0"/>
    </dxf>
    <dxf>
      <font>
        <strike val="0"/>
        <outline val="0"/>
        <shadow val="0"/>
        <u val="none"/>
        <vertAlign val="baseline"/>
        <sz val="9"/>
        <color theme="1"/>
        <name val="Calibri"/>
        <scheme val="minor"/>
      </font>
      <alignment horizontal="center" vertical="center" textRotation="0" indent="0" justifyLastLine="0" shrinkToFit="0" readingOrder="0"/>
    </dxf>
    <dxf>
      <numFmt numFmtId="2" formatCode="0.00"/>
      <fill>
        <patternFill patternType="solid">
          <fgColor rgb="FF000000"/>
          <bgColor rgb="FF5B9BD5"/>
        </patternFill>
      </fill>
      <alignment horizontal="center" vertical="bottom" textRotation="0" wrapText="0" indent="0" justifyLastLine="0" shrinkToFit="0" readingOrder="0"/>
      <border diagonalUp="0" diagonalDown="0" outline="0">
        <left style="medium">
          <color indexed="64"/>
        </left>
        <right style="thin">
          <color rgb="FF000000"/>
        </right>
        <top style="medium">
          <color rgb="FF000000"/>
        </top>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right style="thin">
          <color indexed="64"/>
        </right>
        <top style="medium">
          <color indexed="64"/>
        </top>
        <bottom style="medium">
          <color indexed="64"/>
        </bottom>
      </border>
    </dxf>
    <dxf>
      <fill>
        <patternFill patternType="solid">
          <fgColor indexed="64"/>
          <bgColor theme="4"/>
        </patternFill>
      </fill>
      <border diagonalUp="0" diagonalDown="0" outline="0">
        <left style="medium">
          <color indexed="64"/>
        </left>
        <right style="medium">
          <color indexed="64"/>
        </right>
        <top style="medium">
          <color indexed="64"/>
        </top>
        <bottom style="medium">
          <color indexed="64"/>
        </bottom>
      </border>
    </dxf>
    <dxf>
      <numFmt numFmtId="2" formatCode="0.00"/>
      <alignment horizontal="center" vertical="bottom" textRotation="0" wrapText="0" indent="0" justifyLastLine="0" shrinkToFit="0" readingOrder="0"/>
    </dxf>
    <dxf>
      <numFmt numFmtId="2" formatCode="0.00"/>
    </dxf>
    <dxf>
      <numFmt numFmtId="2" formatCode="0.00"/>
    </dxf>
    <dxf>
      <numFmt numFmtId="2" formatCode="0.00"/>
    </dxf>
    <dxf>
      <numFmt numFmtId="2" formatCode="0.00"/>
    </dxf>
    <dxf>
      <font>
        <strike val="0"/>
        <outline val="0"/>
        <shadow val="0"/>
        <u val="none"/>
        <vertAlign val="baseline"/>
        <sz val="10"/>
        <name val="Calibri"/>
        <family val="2"/>
        <scheme val="minor"/>
      </font>
      <numFmt numFmtId="4" formatCode="#,##0.00"/>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name val="Calibri"/>
        <family val="2"/>
        <scheme val="minor"/>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border>
        <bottom style="medium">
          <color indexed="64"/>
        </bottom>
      </border>
    </dxf>
    <dxf>
      <border diagonalUp="0" diagonalDown="0">
        <left style="medium">
          <color indexed="64"/>
        </left>
        <right style="medium">
          <color indexed="64"/>
        </right>
        <top/>
        <bottom style="medium">
          <color indexed="64"/>
        </bottom>
      </border>
    </dxf>
    <dxf>
      <border>
        <top style="thin">
          <color indexed="64"/>
        </top>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border diagonalUp="0" diagonalDown="0">
        <left/>
        <right/>
        <top style="thin">
          <color indexed="64"/>
        </top>
        <bottom style="thin">
          <color indexed="64"/>
        </bottom>
        <vertical/>
        <horizontal/>
      </border>
    </dxf>
    <dxf>
      <border outline="0">
        <left style="medium">
          <color indexed="64"/>
        </left>
        <right style="medium">
          <color indexed="64"/>
        </right>
        <bottom style="medium">
          <color indexed="64"/>
        </bottom>
      </border>
    </dxf>
    <dxf>
      <border>
        <bottom style="medium">
          <color indexed="64"/>
        </bottom>
      </border>
    </dxf>
    <dxf>
      <border diagonalUp="0" diagonalDown="0">
        <right style="medium">
          <color indexed="64"/>
        </right>
        <vertical/>
      </border>
    </dxf>
    <dxf>
      <numFmt numFmtId="2" formatCode="0.00"/>
      <fill>
        <patternFill patternType="solid">
          <fgColor rgb="FF000000"/>
          <bgColor rgb="FF5B9BD5"/>
        </patternFill>
      </fill>
      <alignment horizontal="center" vertical="bottom" textRotation="0" wrapText="0" indent="0" justifyLastLine="0" shrinkToFit="0" readingOrder="0"/>
      <border diagonalUp="0" diagonalDown="0" outline="0">
        <left style="medium">
          <color indexed="64"/>
        </left>
        <right style="thin">
          <color rgb="FF000000"/>
        </right>
        <top style="medium">
          <color rgb="FF000000"/>
        </top>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ill>
        <patternFill patternType="solid">
          <fgColor indexed="64"/>
          <bgColor theme="4"/>
        </patternFill>
      </fill>
      <border diagonalUp="0" diagonalDown="0" outline="0">
        <left style="medium">
          <color indexed="64"/>
        </left>
        <right style="thin">
          <color indexed="64"/>
        </right>
        <top style="medium">
          <color indexed="64"/>
        </top>
        <bottom style="medium">
          <color indexed="64"/>
        </bottom>
      </border>
    </dxf>
    <dxf>
      <font>
        <strike val="0"/>
        <outline val="0"/>
        <shadow val="0"/>
        <u val="none"/>
        <vertAlign val="baseline"/>
        <sz val="11"/>
        <color auto="1"/>
        <name val="Calibri"/>
        <family val="2"/>
        <scheme val="minor"/>
      </font>
      <border diagonalUp="0" diagonalDown="0" outline="0">
        <left style="thin">
          <color auto="1"/>
        </left>
        <right style="thin">
          <color auto="1"/>
        </right>
        <top/>
        <bottom/>
      </border>
    </dxf>
    <dxf>
      <numFmt numFmtId="2" formatCode="0.00"/>
      <border diagonalUp="0" diagonalDown="0">
        <left style="medium">
          <color indexed="64"/>
        </left>
        <right/>
        <top style="thin">
          <color indexed="64"/>
        </top>
        <bottom style="thin">
          <color indexed="64"/>
        </bottom>
        <vertical/>
        <horizontal style="thin">
          <color indexed="64"/>
        </horizontal>
      </border>
    </dxf>
    <dxf>
      <border>
        <top style="medium">
          <color rgb="FF000000"/>
        </top>
      </border>
    </dxf>
    <dxf>
      <border diagonalUp="0" diagonalDown="0">
        <left style="medium">
          <color auto="1"/>
        </left>
        <right style="medium">
          <color auto="1"/>
        </right>
        <top style="medium">
          <color auto="1"/>
        </top>
        <bottom style="medium">
          <color auto="1"/>
        </bottom>
      </border>
    </dxf>
    <dxf>
      <fill>
        <patternFill patternType="solid">
          <fgColor rgb="FF000000"/>
          <bgColor rgb="FF5B9BD5"/>
        </patternFill>
      </fill>
      <border diagonalUp="0" diagonalDown="0" outline="0">
        <left style="thin">
          <color rgb="FF000000"/>
        </left>
        <right style="thin">
          <color rgb="FF000000"/>
        </right>
        <top/>
        <bottom/>
      </border>
    </dxf>
    <dxf>
      <alignment horizontal="center" vertical="center" textRotation="0" wrapText="1" indent="0" justifyLastLine="0" shrinkToFit="0" readingOrder="0"/>
      <border diagonalUp="0" diagonalDown="0" outline="0">
        <left style="thin">
          <color auto="1"/>
        </left>
        <right style="thin">
          <color auto="1"/>
        </right>
        <top/>
        <bottom/>
      </border>
    </dxf>
    <dxf>
      <numFmt numFmtId="2" formatCode="0.00"/>
      <border diagonalUp="0" diagonalDown="0">
        <left style="medium">
          <color indexed="64"/>
        </left>
        <right/>
        <top style="thin">
          <color indexed="64"/>
        </top>
        <bottom style="thin">
          <color indexed="64"/>
        </bottom>
        <vertical/>
        <horizontal style="thin">
          <color indexed="64"/>
        </horizontal>
      </border>
    </dxf>
    <dxf>
      <font>
        <b/>
        <i val="0"/>
        <strike val="0"/>
        <condense val="0"/>
        <extend val="0"/>
        <outline val="0"/>
        <shadow val="0"/>
        <u val="none"/>
        <vertAlign val="baseline"/>
        <sz val="9"/>
        <color auto="1"/>
        <name val="Calibri"/>
        <family val="2"/>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alibri"/>
        <family val="2"/>
        <scheme val="minor"/>
      </font>
      <border diagonalUp="0" diagonalDown="0" outline="0">
        <left style="thin">
          <color auto="1"/>
        </left>
        <right style="thin">
          <color auto="1"/>
        </right>
        <top/>
        <bottom/>
      </border>
    </dxf>
    <dxf>
      <font>
        <strike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auto="1"/>
        </left>
        <right style="thin">
          <color auto="1"/>
        </right>
        <top/>
        <bottom/>
      </border>
    </dxf>
    <dxf>
      <numFmt numFmtId="2" formatCode="0.00"/>
      <alignment horizontal="center" vertical="bottom" textRotation="0" wrapText="0" indent="0" justifyLastLine="0" shrinkToFit="0" readingOrder="0"/>
    </dxf>
    <dxf>
      <numFmt numFmtId="2" formatCode="0.00"/>
    </dxf>
    <dxf>
      <numFmt numFmtId="2" formatCode="0.00"/>
    </dxf>
    <dxf>
      <numFmt numFmtId="2" formatCode="0.00"/>
    </dxf>
    <dxf>
      <numFmt numFmtId="2" formatCode="0.00"/>
    </dxf>
    <dxf>
      <border>
        <top style="medium">
          <color rgb="FF000000"/>
        </top>
      </border>
    </dxf>
    <dxf>
      <border>
        <bottom style="thin">
          <color auto="1"/>
        </bottom>
      </border>
    </dxf>
    <dxf>
      <border diagonalUp="0" diagonalDown="0">
        <left style="medium">
          <color auto="1"/>
        </left>
        <right style="medium">
          <color auto="1"/>
        </right>
        <top style="medium">
          <color auto="1"/>
        </top>
        <bottom style="medium">
          <color auto="1"/>
        </bottom>
      </border>
    </dxf>
    <dxf>
      <fill>
        <patternFill patternType="solid">
          <fgColor rgb="FF000000"/>
          <bgColor rgb="FF5B9BD5"/>
        </patternFill>
      </fill>
      <border diagonalUp="0" diagonalDown="0" outline="0">
        <left style="thin">
          <color rgb="FF000000"/>
        </left>
        <right style="thin">
          <color rgb="FF000000"/>
        </right>
        <top/>
        <bottom/>
      </border>
    </dxf>
    <dxf>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scheme val="minor"/>
      </font>
      <numFmt numFmtId="164" formatCode="&quot;$&quot;#,##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quot;$&quot;#,##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quot;$&quot;#,##0.00"/>
      <fill>
        <patternFill patternType="solid">
          <fgColor indexed="64"/>
          <bgColor theme="4"/>
        </patternFill>
      </fill>
      <alignment horizontal="center" vertical="bottom" textRotation="0" wrapText="0" indent="0" justifyLastLine="0" shrinkToFit="0" readingOrder="0"/>
      <border diagonalUp="1" diagonalDown="0" outline="0">
        <left style="thin">
          <color indexed="64"/>
        </left>
        <right style="thin">
          <color indexed="64"/>
        </right>
        <top style="thin">
          <color indexed="64"/>
        </top>
        <bottom/>
        <diagonal style="thin">
          <color indexed="64"/>
        </diagonal>
      </border>
    </dxf>
    <dxf>
      <numFmt numFmtId="164" formatCode="&quot;$&quot;#,##0.00"/>
      <alignment horizontal="center"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theme="1"/>
        <name val="Calibri"/>
        <scheme val="minor"/>
      </font>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scheme val="minor"/>
      </font>
      <fill>
        <patternFill patternType="solid">
          <fgColor indexed="64"/>
          <bgColor theme="4"/>
        </patternFill>
      </fill>
      <border diagonalUp="0" diagonalDown="0" outline="0">
        <left/>
        <right style="thin">
          <color indexed="64"/>
        </right>
        <top style="thin">
          <color indexed="64"/>
        </top>
        <bottom/>
      </border>
    </dxf>
    <dxf>
      <border outline="0">
        <right style="thin">
          <color indexed="64"/>
        </right>
      </border>
    </dxf>
    <dxf>
      <border>
        <top style="thin">
          <color auto="1"/>
        </top>
      </border>
    </dxf>
    <dxf>
      <fill>
        <patternFill patternType="solid">
          <fgColor rgb="FF000000"/>
          <bgColor rgb="FF5B9BD5"/>
        </patternFill>
      </fill>
    </dxf>
    <dxf>
      <border diagonalUp="0" diagonalDown="0">
        <left style="medium">
          <color auto="1"/>
        </left>
        <right style="medium">
          <color auto="1"/>
        </right>
        <top style="medium">
          <color auto="1"/>
        </top>
        <bottom style="medium">
          <color auto="1"/>
        </bottom>
      </border>
    </dxf>
    <dxf>
      <font>
        <b val="0"/>
        <i val="0"/>
        <strike val="0"/>
        <condense val="0"/>
        <extend val="0"/>
        <outline val="0"/>
        <shadow val="0"/>
        <u val="none"/>
        <vertAlign val="baseline"/>
        <sz val="12"/>
        <color rgb="FF000000"/>
        <name val="Calibri"/>
        <scheme val="none"/>
      </font>
    </dxf>
    <dxf>
      <border>
        <bottom style="medium">
          <color rgb="FF000000"/>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border>
    </dxf>
    <dxf>
      <fill>
        <patternFill patternType="solid">
          <fgColor indexed="64"/>
          <bgColor theme="4"/>
        </patternFill>
      </fill>
      <border diagonalUp="0" diagonalDown="0" outline="0">
        <left style="medium">
          <color indexed="64"/>
        </left>
        <right style="thin">
          <color indexed="64"/>
        </right>
        <top style="medium">
          <color indexed="64"/>
        </top>
        <bottom style="medium">
          <color indexed="64"/>
        </bottom>
      </border>
    </dxf>
    <dxf>
      <border diagonalUp="0" diagonalDown="0">
        <left/>
        <right style="thin">
          <color indexed="64"/>
        </right>
        <top style="thin">
          <color indexed="64"/>
        </top>
        <bottom style="thin">
          <color indexed="64"/>
        </bottom>
        <vertical/>
        <horizontal/>
      </border>
    </dxf>
    <dxf>
      <border>
        <top style="medium">
          <color indexed="64"/>
        </top>
      </border>
    </dxf>
    <dxf>
      <fill>
        <patternFill patternType="solid">
          <fgColor indexed="64"/>
          <bgColor theme="4"/>
        </patternFill>
      </fill>
      <border diagonalDown="0">
        <left style="thin">
          <color indexed="64"/>
        </left>
        <right style="thin">
          <color indexed="64"/>
        </right>
        <top/>
        <bottom/>
        <vertical style="thin">
          <color indexed="64"/>
        </vertical>
        <horizontal/>
      </border>
    </dxf>
    <dxf>
      <border diagonalUp="0" diagonalDown="0">
        <left style="medium">
          <color auto="1"/>
        </left>
        <right style="medium">
          <color auto="1"/>
        </right>
        <top style="medium">
          <color auto="1"/>
        </top>
        <bottom style="medium">
          <color auto="1"/>
        </bottom>
      </border>
    </dxf>
    <dxf>
      <border>
        <bottom style="thin">
          <color auto="1"/>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border>
    </dxf>
    <dxf>
      <fill>
        <patternFill patternType="solid">
          <fgColor indexed="64"/>
          <bgColor theme="4"/>
        </patternFill>
      </fill>
      <border diagonalUp="0" diagonalDown="0" outline="0">
        <left style="medium">
          <color indexed="64"/>
        </left>
        <right style="thin">
          <color indexed="64"/>
        </right>
        <top style="medium">
          <color indexed="64"/>
        </top>
        <bottom style="medium">
          <color indexed="64"/>
        </bottom>
      </border>
    </dxf>
    <dxf>
      <border diagonalUp="0" diagonalDown="0">
        <left/>
        <right style="thin">
          <color indexed="64"/>
        </right>
        <top style="thin">
          <color indexed="64"/>
        </top>
        <bottom style="thin">
          <color indexed="64"/>
        </bottom>
        <vertical/>
        <horizontal/>
      </border>
    </dxf>
    <dxf>
      <border>
        <top style="medium">
          <color indexed="64"/>
        </top>
      </border>
    </dxf>
    <dxf>
      <fill>
        <patternFill patternType="solid">
          <fgColor indexed="64"/>
          <bgColor theme="4"/>
        </patternFill>
      </fill>
      <border diagonalDown="0">
        <left style="thin">
          <color indexed="64"/>
        </left>
        <right style="thin">
          <color indexed="64"/>
        </right>
        <top/>
        <bottom/>
        <vertical style="thin">
          <color indexed="64"/>
        </vertical>
        <horizontal/>
      </border>
    </dxf>
    <dxf>
      <border diagonalUp="0" diagonalDown="0">
        <left style="medium">
          <color auto="1"/>
        </left>
        <right style="medium">
          <color auto="1"/>
        </right>
        <top style="medium">
          <color auto="1"/>
        </top>
        <bottom style="medium">
          <color auto="1"/>
        </bottom>
      </border>
    </dxf>
    <dxf>
      <border>
        <bottom style="thin">
          <color auto="1"/>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border>
    </dxf>
    <dxf>
      <fill>
        <patternFill patternType="solid">
          <fgColor indexed="64"/>
          <bgColor theme="4"/>
        </patternFill>
      </fill>
      <border diagonalUp="0" diagonalDown="0" outline="0">
        <left style="medium">
          <color indexed="64"/>
        </left>
        <right style="thin">
          <color indexed="64"/>
        </right>
        <top style="medium">
          <color indexed="64"/>
        </top>
        <bottom style="medium">
          <color indexed="64"/>
        </bottom>
      </border>
    </dxf>
    <dxf>
      <border diagonalUp="0" diagonalDown="0">
        <left/>
        <right style="thin">
          <color indexed="64"/>
        </right>
        <top style="thin">
          <color indexed="64"/>
        </top>
        <bottom style="thin">
          <color indexed="64"/>
        </bottom>
        <vertical/>
        <horizontal/>
      </border>
    </dxf>
    <dxf>
      <border>
        <top style="medium">
          <color indexed="64"/>
        </top>
      </border>
    </dxf>
    <dxf>
      <fill>
        <patternFill patternType="solid">
          <fgColor indexed="64"/>
          <bgColor theme="4"/>
        </patternFill>
      </fill>
      <border diagonalDown="0">
        <left style="thin">
          <color indexed="64"/>
        </left>
        <right style="thin">
          <color indexed="64"/>
        </right>
        <top/>
        <bottom/>
        <vertical style="thin">
          <color indexed="64"/>
        </vertical>
        <horizontal/>
      </border>
    </dxf>
    <dxf>
      <border diagonalUp="0" diagonalDown="0">
        <left style="medium">
          <color auto="1"/>
        </left>
        <right style="medium">
          <color auto="1"/>
        </right>
        <top style="medium">
          <color auto="1"/>
        </top>
        <bottom style="medium">
          <color auto="1"/>
        </bottom>
      </border>
    </dxf>
    <dxf>
      <border>
        <bottom style="thin">
          <color auto="1"/>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dxf>
    <dxf>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fill>
        <patternFill patternType="solid">
          <fgColor indexed="64"/>
          <bgColor theme="4"/>
        </patternFill>
      </fill>
      <alignment horizontal="center" vertical="bottom" textRotation="0" wrapText="0" indent="0" justifyLastLine="0" shrinkToFit="0" readingOrder="0"/>
      <border diagonalUp="1" diagonalDown="0" outline="0">
        <left style="thin">
          <color indexed="64"/>
        </left>
        <right style="thin">
          <color indexed="64"/>
        </right>
        <top style="medium">
          <color indexed="64"/>
        </top>
        <bottom style="medium">
          <color indexed="64"/>
        </bottom>
        <diagonal style="thin">
          <color indexed="64"/>
        </diagonal>
      </border>
    </dxf>
    <dxf>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4"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border>
    </dxf>
    <dxf>
      <fill>
        <patternFill patternType="solid">
          <fgColor indexed="64"/>
          <bgColor theme="4"/>
        </patternFill>
      </fill>
      <border diagonalUp="0" diagonalDown="0" outline="0">
        <left style="medium">
          <color indexed="64"/>
        </left>
        <right style="thin">
          <color indexed="64"/>
        </right>
        <top style="medium">
          <color indexed="64"/>
        </top>
        <bottom style="medium">
          <color indexed="64"/>
        </bottom>
      </border>
    </dxf>
    <dxf>
      <border diagonalUp="0" diagonalDown="0">
        <left/>
        <right style="thin">
          <color indexed="64"/>
        </right>
        <top style="thin">
          <color indexed="64"/>
        </top>
        <bottom style="thin">
          <color indexed="64"/>
        </bottom>
        <vertical/>
        <horizontal/>
      </border>
    </dxf>
    <dxf>
      <border>
        <top style="medium">
          <color indexed="64"/>
        </top>
      </border>
    </dxf>
    <dxf>
      <fill>
        <patternFill patternType="solid">
          <fgColor indexed="64"/>
          <bgColor theme="4"/>
        </patternFill>
      </fill>
      <border diagonalDown="0">
        <left style="thin">
          <color indexed="64"/>
        </left>
        <right style="thin">
          <color indexed="64"/>
        </right>
        <top/>
        <bottom/>
        <vertical style="thin">
          <color indexed="64"/>
        </vertical>
        <horizontal/>
      </border>
    </dxf>
    <dxf>
      <border diagonalUp="0" diagonalDown="0">
        <left style="medium">
          <color auto="1"/>
        </left>
        <right style="medium">
          <color auto="1"/>
        </right>
        <top style="medium">
          <color auto="1"/>
        </top>
        <bottom style="medium">
          <color auto="1"/>
        </bottom>
      </border>
    </dxf>
    <dxf>
      <border>
        <bottom style="thin">
          <color auto="1"/>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dxf>
    <dxf>
      <fill>
        <patternFill patternType="solid">
          <fgColor indexed="64"/>
          <bgColor theme="4"/>
        </patternFill>
      </fill>
      <alignment horizontal="center" vertical="bottom" textRotation="0" wrapText="0" indent="0" justifyLastLine="0" shrinkToFit="0" readingOrder="0"/>
      <border diagonalUp="1" diagonalDown="0" outline="0">
        <left style="thin">
          <color indexed="64"/>
        </left>
        <right style="thin">
          <color indexed="64"/>
        </right>
        <top style="medium">
          <color indexed="64"/>
        </top>
        <bottom style="medium">
          <color indexed="64"/>
        </bottom>
        <diagonal style="thin">
          <color indexed="64"/>
        </diagonal>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ill>
        <patternFill patternType="solid">
          <fgColor indexed="64"/>
          <bgColor theme="4"/>
        </patternFill>
      </fill>
      <border diagonalUp="0" diagonalDown="0" outline="0">
        <left style="medium">
          <color indexed="64"/>
        </left>
        <right style="thin">
          <color indexed="64"/>
        </right>
        <top style="medium">
          <color indexed="64"/>
        </top>
        <bottom style="medium">
          <color indexed="64"/>
        </bottom>
      </border>
    </dxf>
    <dxf>
      <border>
        <top style="medium">
          <color indexed="64"/>
        </top>
      </border>
    </dxf>
    <dxf>
      <fill>
        <patternFill patternType="solid">
          <fgColor indexed="64"/>
          <bgColor theme="4"/>
        </patternFill>
      </fill>
      <border diagonalUp="0" diagonalDown="0" outline="0">
        <left style="thin">
          <color indexed="64"/>
        </left>
        <right style="thin">
          <color indexed="64"/>
        </right>
        <top/>
        <bottom/>
      </border>
    </dxf>
    <dxf>
      <border diagonalUp="0" diagonalDown="0">
        <left style="medium">
          <color auto="1"/>
        </left>
        <right style="medium">
          <color auto="1"/>
        </right>
        <top style="medium">
          <color auto="1"/>
        </top>
        <bottom style="medium">
          <color auto="1"/>
        </bottom>
      </border>
    </dxf>
    <dxf>
      <border>
        <bottom style="thin">
          <color auto="1"/>
        </bottom>
      </border>
    </dxf>
    <dxf>
      <numFmt numFmtId="164" formatCode="&quot;$&quot;#,##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top/>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4"/>
        </patternFill>
      </fill>
      <border diagonalUp="0" diagonalDown="0" outline="0">
        <left/>
        <right style="thin">
          <color indexed="64"/>
        </right>
        <top/>
        <bottom/>
      </border>
    </dxf>
    <dxf>
      <border>
        <top style="medium">
          <color indexed="64"/>
        </top>
      </border>
    </dxf>
    <dxf>
      <fill>
        <patternFill patternType="solid">
          <fgColor indexed="64"/>
          <bgColor theme="4"/>
        </patternFill>
      </fill>
      <border diagonalUp="0" diagonalDown="0">
        <left style="thin">
          <color indexed="64"/>
        </left>
        <right style="thin">
          <color indexed="64"/>
        </right>
        <top/>
        <bottom/>
        <vertical style="thin">
          <color indexed="64"/>
        </vertical>
        <horizontal/>
      </border>
    </dxf>
    <dxf>
      <border diagonalUp="0" diagonalDown="0">
        <left style="medium">
          <color auto="1"/>
        </left>
        <right style="medium">
          <color auto="1"/>
        </right>
        <top style="medium">
          <color auto="1"/>
        </top>
        <bottom style="medium">
          <color auto="1"/>
        </bottom>
      </border>
    </dxf>
    <dxf>
      <border>
        <bottom style="medium">
          <color indexed="64"/>
        </bottom>
      </border>
    </dxf>
    <dxf>
      <numFmt numFmtId="164" formatCode="&quot;$&quot;#,##0.00"/>
      <alignment horizontal="center" vertical="bottom" textRotation="0" wrapText="0" indent="0" justifyLastLine="0" shrinkToFit="0" readingOrder="0"/>
      <border diagonalUp="0" diagonalDown="0">
        <left style="thin">
          <color auto="1"/>
        </left>
        <right/>
        <top style="thin">
          <color auto="1"/>
        </top>
        <bottom style="thin">
          <color auto="1"/>
        </bottom>
      </border>
    </dxf>
    <dxf>
      <numFmt numFmtId="0" formatCode="General"/>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border>
    </dxf>
    <dxf>
      <border diagonalUp="0" diagonalDown="0" outline="0">
        <left/>
        <right style="thin">
          <color indexed="64"/>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alignment horizontal="center" vertical="bottom" textRotation="0" wrapText="0" indent="0" justifyLastLine="0" shrinkToFit="0" readingOrder="0"/>
      <border diagonalUp="0" diagonalDown="0" outline="0">
        <left style="thin">
          <color auto="1"/>
        </left>
        <right style="thin">
          <color auto="1"/>
        </right>
        <top/>
        <bottom/>
      </border>
    </dxf>
    <dxf>
      <numFmt numFmtId="164" formatCode="&quot;$&quot;#,##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top style="thin">
          <color indexed="64"/>
        </top>
        <bottom/>
      </border>
    </dxf>
    <dxf>
      <numFmt numFmtId="2" formatCode="0.00"/>
      <fill>
        <patternFill patternType="solid">
          <fgColor indexed="64"/>
          <bgColor theme="4"/>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4"/>
        </patternFill>
      </fill>
      <border diagonalUp="0" diagonalDown="0" outline="0">
        <left/>
        <right style="thin">
          <color indexed="64"/>
        </right>
        <top style="thin">
          <color indexed="64"/>
        </top>
        <bottom/>
      </border>
    </dxf>
    <dxf>
      <border>
        <top style="thin">
          <color auto="1"/>
        </top>
      </border>
    </dxf>
    <dxf>
      <fill>
        <patternFill patternType="solid">
          <fgColor indexed="64"/>
          <bgColor theme="4"/>
        </patternFill>
      </fill>
    </dxf>
    <dxf>
      <border diagonalUp="0" diagonalDown="0">
        <left style="medium">
          <color auto="1"/>
        </left>
        <right style="medium">
          <color auto="1"/>
        </right>
        <top style="medium">
          <color auto="1"/>
        </top>
        <bottom style="medium">
          <color auto="1"/>
        </bottom>
      </border>
    </dxf>
    <dxf>
      <border>
        <bottom style="thin">
          <color auto="1"/>
        </bottom>
      </border>
    </dxf>
    <dxf>
      <numFmt numFmtId="164" formatCode="&quot;$&quot;#,##0.00"/>
      <alignment horizontal="center" vertical="bottom" textRotation="0" wrapText="0" indent="0" justifyLastLine="0" shrinkToFit="0" readingOrder="0"/>
      <border diagonalUp="0" diagonalDown="0">
        <left style="thin">
          <color auto="1"/>
        </left>
        <right/>
        <top style="thin">
          <color auto="1"/>
        </top>
        <bottom style="thin">
          <color auto="1"/>
        </bottom>
      </border>
    </dxf>
    <dxf>
      <numFmt numFmtId="0" formatCode="General"/>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border>
    </dxf>
    <dxf>
      <border diagonalUp="0" diagonalDown="0" outline="0">
        <left/>
        <right style="thin">
          <color indexed="64"/>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numFmt numFmtId="164" formatCode="&quot;$&quot;#,##0.00"/>
      <fill>
        <patternFill patternType="solid">
          <fgColor indexed="64"/>
          <bgColor theme="0" tint="-0.34998626667073579"/>
        </patternFill>
      </fill>
      <alignment horizontal="center" vertical="bottom" textRotation="0" wrapText="0" indent="0" justifyLastLine="0" shrinkToFit="0" readingOrder="0"/>
      <border diagonalUp="0" diagonalDown="0" outline="0">
        <left/>
        <right/>
        <top style="medium">
          <color indexed="64"/>
        </top>
        <bottom/>
      </border>
    </dxf>
    <dxf>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indexed="64"/>
        </left>
        <right style="thin">
          <color indexed="64"/>
        </right>
        <top style="medium">
          <color indexed="64"/>
        </top>
        <bottom/>
      </border>
    </dxf>
    <dxf>
      <fill>
        <patternFill patternType="solid">
          <fgColor indexed="64"/>
          <bgColor theme="0" tint="-0.34998626667073579"/>
        </patternFill>
      </fill>
      <border diagonalUp="0" diagonalDown="0" outline="0">
        <left/>
        <right style="thin">
          <color indexed="64"/>
        </right>
        <top style="medium">
          <color indexed="64"/>
        </top>
        <bottom/>
      </border>
    </dxf>
    <dxf>
      <border>
        <top style="medium">
          <color indexed="64"/>
        </top>
      </border>
    </dxf>
    <dxf>
      <fill>
        <patternFill patternType="solid">
          <fgColor indexed="64"/>
          <bgColor theme="0" tint="-0.34998626667073579"/>
        </patternFill>
      </fill>
      <border diagonalUp="0" diagonalDown="0" outline="0">
        <left style="thin">
          <color auto="1"/>
        </left>
        <right style="thin">
          <color auto="1"/>
        </right>
        <top/>
        <bottom/>
      </border>
    </dxf>
    <dxf>
      <border diagonalUp="0" diagonalDown="0">
        <left style="medium">
          <color auto="1"/>
        </left>
        <right style="medium">
          <color auto="1"/>
        </right>
        <top style="medium">
          <color auto="1"/>
        </top>
        <bottom style="medium">
          <color auto="1"/>
        </bottom>
      </border>
    </dxf>
    <dxf>
      <border>
        <bottom style="thin">
          <color auto="1"/>
        </bottom>
      </border>
    </dxf>
    <dxf>
      <numFmt numFmtId="164" formatCode="&quot;$&quot;#,##0.00"/>
      <alignment horizontal="center" vertical="bottom" textRotation="0" wrapText="0" indent="0" justifyLastLine="0" shrinkToFit="0" readingOrder="0"/>
      <border diagonalUp="0" diagonalDown="0">
        <left style="thin">
          <color auto="1"/>
        </left>
        <right/>
        <top style="thin">
          <color auto="1"/>
        </top>
        <bottom style="thin">
          <color auto="1"/>
        </bottom>
      </border>
    </dxf>
    <dxf>
      <numFmt numFmtId="0" formatCode="General"/>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border>
    </dxf>
    <dxf>
      <border diagonalUp="0" diagonalDown="0" outline="0">
        <left/>
        <right style="thin">
          <color indexed="64"/>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numFmt numFmtId="164" formatCode="&quot;$&quot;#,##0.00"/>
      <alignment horizontal="center" vertical="bottom" textRotation="0" wrapText="0" indent="0" justifyLastLine="0" shrinkToFit="0" readingOrder="0"/>
      <border diagonalUp="0" diagonalDown="0" outline="0">
        <left/>
        <right/>
        <top style="thin">
          <color auto="1"/>
        </top>
        <bottom style="thin">
          <color auto="1"/>
        </bottom>
      </border>
    </dxf>
    <dxf>
      <numFmt numFmtId="0" formatCode="General"/>
      <alignment horizontal="center" vertical="bottom" textRotation="0" wrapText="0" indent="0" justifyLastLine="0" shrinkToFit="0" readingOrder="0"/>
      <border diagonalUp="0" diagonalDown="0" outline="0">
        <left style="thin">
          <color auto="1"/>
        </left>
        <right style="thin">
          <color indexed="64"/>
        </right>
        <top style="thin">
          <color auto="1"/>
        </top>
        <bottom style="thin">
          <color auto="1"/>
        </bottom>
      </border>
    </dxf>
    <dxf>
      <border diagonalUp="0" diagonalDown="0" outline="0">
        <left/>
        <right style="thin">
          <color indexed="64"/>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border>
        <top style="medium">
          <color indexed="64"/>
        </top>
      </border>
    </dxf>
    <dxf>
      <font>
        <strike val="0"/>
        <outline val="0"/>
        <shadow val="0"/>
        <u val="none"/>
        <vertAlign val="baseline"/>
        <sz val="9"/>
        <color theme="1"/>
        <name val="Calibri"/>
        <scheme val="minor"/>
      </font>
      <fill>
        <patternFill patternType="solid">
          <fgColor indexed="64"/>
          <bgColor theme="4" tint="0.39997558519241921"/>
        </patternFill>
      </fill>
      <border diagonalUp="0" diagonalDown="0" outline="0">
        <left style="thin">
          <color indexed="64"/>
        </left>
        <right style="thin">
          <color indexed="64"/>
        </right>
        <top/>
        <bottom/>
      </border>
    </dxf>
    <dxf>
      <border outline="0">
        <left style="medium">
          <color indexed="64"/>
        </left>
        <right style="medium">
          <color indexed="64"/>
        </right>
        <top style="medium">
          <color indexed="64"/>
        </top>
      </border>
    </dxf>
    <dxf>
      <font>
        <strike val="0"/>
        <outline val="0"/>
        <shadow val="0"/>
        <u val="none"/>
        <vertAlign val="baseline"/>
        <sz val="9"/>
        <color theme="1"/>
        <name val="Calibri"/>
        <scheme val="minor"/>
      </font>
      <fill>
        <patternFill patternType="none">
          <fgColor indexed="64"/>
          <bgColor auto="1"/>
        </patternFill>
      </fill>
      <alignment horizontal="center" vertical="center" textRotation="0" indent="0" justifyLastLine="0" shrinkToFit="0" readingOrder="0"/>
    </dxf>
    <dxf>
      <border>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Waste percentage by Dept./Section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5CDE-4349-A04E-56A5112DF3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F1-4E83-9804-2B04BACE4F8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F1-4E83-9804-2B04BACE4F8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F1-4E83-9804-2B04BACE4F8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F1-4E83-9804-2B04BACE4F8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F1-4E83-9804-2B04BACE4F8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3-5CDE-4349-A04E-56A5112DF3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1-5CDE-4349-A04E-56A5112DF3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2-5CDE-4349-A04E-56A5112DF30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90C-4667-929B-83B0A454481D}"/>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190C-4667-929B-83B0A454481D}"/>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190C-4667-929B-83B0A454481D}"/>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190C-4667-929B-83B0A454481D}"/>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190C-4667-929B-83B0A454481D}"/>
              </c:ext>
            </c:extLst>
          </c:dPt>
          <c:dLbls>
            <c:dLbl>
              <c:idx val="0"/>
              <c:layout>
                <c:manualLayout>
                  <c:x val="3.5772366883648134E-2"/>
                  <c:y val="2.05128205128205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CDE-4349-A04E-56A5112DF304}"/>
                </c:ext>
              </c:extLst>
            </c:dLbl>
            <c:dLbl>
              <c:idx val="6"/>
              <c:layout>
                <c:manualLayout>
                  <c:x val="-7.1544733767296267E-2"/>
                  <c:y val="6.153846153846154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DE-4349-A04E-56A5112DF304}"/>
                </c:ext>
              </c:extLst>
            </c:dLbl>
            <c:dLbl>
              <c:idx val="7"/>
              <c:layout>
                <c:manualLayout>
                  <c:x val="-8.2035230019903982E-2"/>
                  <c:y val="2.051282051282048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DE-4349-A04E-56A5112DF304}"/>
                </c:ext>
              </c:extLst>
            </c:dLbl>
            <c:dLbl>
              <c:idx val="8"/>
              <c:layout>
                <c:manualLayout>
                  <c:x val="7.48116189262195E-2"/>
                  <c:y val="1.53846153846153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CDE-4349-A04E-56A5112DF3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Subtotals!$A$4:$A$17</c:f>
              <c:strCache>
                <c:ptCount val="14"/>
                <c:pt idx="0">
                  <c:v>Kitchen</c:v>
                </c:pt>
                <c:pt idx="1">
                  <c:v>Cafeteria</c:v>
                </c:pt>
                <c:pt idx="2">
                  <c:v>Buffet</c:v>
                </c:pt>
                <c:pt idx="3">
                  <c:v>Cooler</c:v>
                </c:pt>
                <c:pt idx="4">
                  <c:v>Freezer</c:v>
                </c:pt>
                <c:pt idx="5">
                  <c:v>Dry storage</c:v>
                </c:pt>
                <c:pt idx="6">
                  <c:v>Customer</c:v>
                </c:pt>
                <c:pt idx="7">
                  <c:v>Meat</c:v>
                </c:pt>
                <c:pt idx="8">
                  <c:v>Deli</c:v>
                </c:pt>
                <c:pt idx="9">
                  <c:v>Bakery</c:v>
                </c:pt>
                <c:pt idx="10">
                  <c:v>Dairy</c:v>
                </c:pt>
                <c:pt idx="11">
                  <c:v>Produce</c:v>
                </c:pt>
                <c:pt idx="12">
                  <c:v>Frozen</c:v>
                </c:pt>
                <c:pt idx="13">
                  <c:v>Grocery</c:v>
                </c:pt>
              </c:strCache>
            </c:strRef>
          </c:cat>
          <c:val>
            <c:numRef>
              <c:f>Subtotals!$B$4:$B$17</c:f>
              <c:numCache>
                <c:formatCode>General</c:formatCode>
                <c:ptCount val="14"/>
                <c:pt idx="0">
                  <c:v>1.73</c:v>
                </c:pt>
                <c:pt idx="1">
                  <c:v>0.23</c:v>
                </c:pt>
                <c:pt idx="2">
                  <c:v>0.88</c:v>
                </c:pt>
                <c:pt idx="3">
                  <c:v>0.57999999999999996</c:v>
                </c:pt>
                <c:pt idx="4">
                  <c:v>3.27</c:v>
                </c:pt>
                <c:pt idx="5">
                  <c:v>2.54</c:v>
                </c:pt>
                <c:pt idx="6">
                  <c:v>1.78</c:v>
                </c:pt>
                <c:pt idx="7">
                  <c:v>0.55000000000000004</c:v>
                </c:pt>
                <c:pt idx="8">
                  <c:v>0</c:v>
                </c:pt>
                <c:pt idx="9">
                  <c:v>0</c:v>
                </c:pt>
                <c:pt idx="10">
                  <c:v>0</c:v>
                </c:pt>
                <c:pt idx="11">
                  <c:v>0</c:v>
                </c:pt>
                <c:pt idx="12">
                  <c:v>0</c:v>
                </c:pt>
                <c:pt idx="13">
                  <c:v>0</c:v>
                </c:pt>
              </c:numCache>
            </c:numRef>
          </c:val>
          <c:extLst>
            <c:ext xmlns:c16="http://schemas.microsoft.com/office/drawing/2014/chart" uri="{C3380CC4-5D6E-409C-BE32-E72D297353CC}">
              <c16:uniqueId val="{00000000-5CDE-4349-A04E-56A5112DF304}"/>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Cost percentage by</a:t>
            </a:r>
            <a:r>
              <a:rPr lang="en-US" u="sng" baseline="0"/>
              <a:t> alternative disposal</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1B-416B-8097-A0E1C50ACB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1B-416B-8097-A0E1C50ACB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91B-416B-8097-A0E1C50ACB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91B-416B-8097-A0E1C50ACB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91B-416B-8097-A0E1C50ACB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817-47A1-8FCE-20AE3314E6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Subtotals!$A$134:$A$139</c:f>
              <c:strCache>
                <c:ptCount val="6"/>
                <c:pt idx="0">
                  <c:v>Source reduction</c:v>
                </c:pt>
                <c:pt idx="1">
                  <c:v>Donation for people</c:v>
                </c:pt>
                <c:pt idx="2">
                  <c:v>Donation for animals</c:v>
                </c:pt>
                <c:pt idx="3">
                  <c:v>Industrial use</c:v>
                </c:pt>
                <c:pt idx="4">
                  <c:v>Composting</c:v>
                </c:pt>
                <c:pt idx="5">
                  <c:v>Landfill</c:v>
                </c:pt>
              </c:strCache>
            </c:strRef>
          </c:cat>
          <c:val>
            <c:numRef>
              <c:f>Subtotals!$C$134:$C$139</c:f>
              <c:numCache>
                <c:formatCode>"$"#,##0.00</c:formatCode>
                <c:ptCount val="6"/>
                <c:pt idx="0">
                  <c:v>1.6780999999999999</c:v>
                </c:pt>
                <c:pt idx="1">
                  <c:v>0.22309999999999999</c:v>
                </c:pt>
                <c:pt idx="2">
                  <c:v>0.6512</c:v>
                </c:pt>
                <c:pt idx="3">
                  <c:v>0.42919999999999997</c:v>
                </c:pt>
                <c:pt idx="4">
                  <c:v>3.8258999999999999</c:v>
                </c:pt>
                <c:pt idx="5">
                  <c:v>1.651</c:v>
                </c:pt>
              </c:numCache>
            </c:numRef>
          </c:val>
          <c:extLst>
            <c:ext xmlns:c16="http://schemas.microsoft.com/office/drawing/2014/chart" uri="{C3380CC4-5D6E-409C-BE32-E72D297353CC}">
              <c16:uniqueId val="{0000000A-791B-416B-8097-A0E1C50ACB25}"/>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Cost percentage by Dept./Section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C9C-4D6D-A499-123ACC79E0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C9C-4D6D-A499-123ACC79E0A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C9C-4D6D-A499-123ACC79E0A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C9C-4D6D-A499-123ACC79E0A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C9C-4D6D-A499-123ACC79E0A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C9C-4D6D-A499-123ACC79E0A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C9C-4D6D-A499-123ACC79E0A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C9C-4D6D-A499-123ACC79E0A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C9C-4D6D-A499-123ACC79E0A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D4-4D72-B718-8AA564C1F7F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D4-4D72-B718-8AA564C1F7F4}"/>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D4-4D72-B718-8AA564C1F7F4}"/>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D4-4D72-B718-8AA564C1F7F4}"/>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D4-4D72-B718-8AA564C1F7F4}"/>
              </c:ext>
            </c:extLst>
          </c:dPt>
          <c:dLbls>
            <c:dLbl>
              <c:idx val="0"/>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C9C-4D6D-A499-123ACC79E0AB}"/>
                </c:ext>
              </c:extLst>
            </c:dLbl>
            <c:dLbl>
              <c:idx val="4"/>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C9C-4D6D-A499-123ACC79E0AB}"/>
                </c:ext>
              </c:extLst>
            </c:dLbl>
            <c:dLbl>
              <c:idx val="5"/>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C9C-4D6D-A499-123ACC79E0AB}"/>
                </c:ext>
              </c:extLst>
            </c:dLbl>
            <c:dLbl>
              <c:idx val="6"/>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C9C-4D6D-A499-123ACC79E0AB}"/>
                </c:ext>
              </c:extLst>
            </c:dLbl>
            <c:dLbl>
              <c:idx val="7"/>
              <c:layout>
                <c:manualLayout>
                  <c:x val="-0.10486421998233021"/>
                  <c:y val="1.950671607225567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C9C-4D6D-A499-123ACC79E0AB}"/>
                </c:ext>
              </c:extLst>
            </c:dLbl>
            <c:dLbl>
              <c:idx val="8"/>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6C9C-4D6D-A499-123ACC79E0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Subtotals!$A$4:$A$17</c:f>
              <c:strCache>
                <c:ptCount val="14"/>
                <c:pt idx="0">
                  <c:v>Kitchen</c:v>
                </c:pt>
                <c:pt idx="1">
                  <c:v>Cafeteria</c:v>
                </c:pt>
                <c:pt idx="2">
                  <c:v>Buffet</c:v>
                </c:pt>
                <c:pt idx="3">
                  <c:v>Cooler</c:v>
                </c:pt>
                <c:pt idx="4">
                  <c:v>Freezer</c:v>
                </c:pt>
                <c:pt idx="5">
                  <c:v>Dry storage</c:v>
                </c:pt>
                <c:pt idx="6">
                  <c:v>Customer</c:v>
                </c:pt>
                <c:pt idx="7">
                  <c:v>Meat</c:v>
                </c:pt>
                <c:pt idx="8">
                  <c:v>Deli</c:v>
                </c:pt>
                <c:pt idx="9">
                  <c:v>Bakery</c:v>
                </c:pt>
                <c:pt idx="10">
                  <c:v>Dairy</c:v>
                </c:pt>
                <c:pt idx="11">
                  <c:v>Produce</c:v>
                </c:pt>
                <c:pt idx="12">
                  <c:v>Frozen</c:v>
                </c:pt>
                <c:pt idx="13">
                  <c:v>Grocery</c:v>
                </c:pt>
              </c:strCache>
            </c:strRef>
          </c:cat>
          <c:val>
            <c:numRef>
              <c:f>Subtotals!$C$4:$C$17</c:f>
              <c:numCache>
                <c:formatCode>"$"#,##0.00</c:formatCode>
                <c:ptCount val="14"/>
                <c:pt idx="0">
                  <c:v>1.6780999999999999</c:v>
                </c:pt>
                <c:pt idx="1">
                  <c:v>0.22309999999999999</c:v>
                </c:pt>
                <c:pt idx="2">
                  <c:v>0.6512</c:v>
                </c:pt>
                <c:pt idx="3">
                  <c:v>0.42919999999999997</c:v>
                </c:pt>
                <c:pt idx="4">
                  <c:v>3.8258999999999999</c:v>
                </c:pt>
                <c:pt idx="5">
                  <c:v>1.651</c:v>
                </c:pt>
                <c:pt idx="6">
                  <c:v>4.0939999999999994</c:v>
                </c:pt>
                <c:pt idx="7">
                  <c:v>0.79200000000000004</c:v>
                </c:pt>
                <c:pt idx="8">
                  <c:v>0</c:v>
                </c:pt>
                <c:pt idx="9" formatCode="General">
                  <c:v>0</c:v>
                </c:pt>
                <c:pt idx="10" formatCode="General">
                  <c:v>0</c:v>
                </c:pt>
                <c:pt idx="11" formatCode="General">
                  <c:v>0</c:v>
                </c:pt>
                <c:pt idx="12" formatCode="General">
                  <c:v>0</c:v>
                </c:pt>
                <c:pt idx="13" formatCode="General">
                  <c:v>0</c:v>
                </c:pt>
              </c:numCache>
            </c:numRef>
          </c:val>
          <c:extLst>
            <c:ext xmlns:c16="http://schemas.microsoft.com/office/drawing/2014/chart" uri="{C3380CC4-5D6E-409C-BE32-E72D297353CC}">
              <c16:uniqueId val="{00000012-6C9C-4D6D-A499-123ACC79E0AB}"/>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Waste percentage by</a:t>
            </a:r>
            <a:r>
              <a:rPr lang="en-US" u="sng" baseline="0"/>
              <a:t> WARM category</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EBC-4C15-82EC-FF8283C316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EBC-4C15-82EC-FF8283C316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EBC-4C15-82EC-FF8283C316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EBC-4C15-82EC-FF8283C316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EBC-4C15-82EC-FF8283C3165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EBC-4C15-82EC-FF8283C3165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EBC-4C15-82EC-FF8283C3165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EBC-4C15-82EC-FF8283C31652}"/>
              </c:ext>
            </c:extLst>
          </c:dPt>
          <c:dLbls>
            <c:dLbl>
              <c:idx val="0"/>
              <c:layout>
                <c:manualLayout>
                  <c:x val="6.3180129989710648E-2"/>
                  <c:y val="2.213837757958333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1830413370221933"/>
                      <c:h val="0.13279296348681316"/>
                    </c:manualLayout>
                  </c15:layout>
                </c:ext>
                <c:ext xmlns:c16="http://schemas.microsoft.com/office/drawing/2014/chart" uri="{C3380CC4-5D6E-409C-BE32-E72D297353CC}">
                  <c16:uniqueId val="{00000001-BEBC-4C15-82EC-FF8283C31652}"/>
                </c:ext>
              </c:extLst>
            </c:dLbl>
            <c:dLbl>
              <c:idx val="1"/>
              <c:layout>
                <c:manualLayout>
                  <c:x val="4.0545161680353527E-2"/>
                  <c:y val="-2.2231701170192485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7696256928779489"/>
                      <c:h val="0.13722603939922395"/>
                    </c:manualLayout>
                  </c15:layout>
                </c:ext>
                <c:ext xmlns:c16="http://schemas.microsoft.com/office/drawing/2014/chart" uri="{C3380CC4-5D6E-409C-BE32-E72D297353CC}">
                  <c16:uniqueId val="{00000003-BEBC-4C15-82EC-FF8283C31652}"/>
                </c:ext>
              </c:extLst>
            </c:dLbl>
            <c:dLbl>
              <c:idx val="2"/>
              <c:layout>
                <c:manualLayout>
                  <c:x val="2.620802620802621E-2"/>
                  <c:y val="3.543743078626791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EBC-4C15-82EC-FF8283C31652}"/>
                </c:ext>
              </c:extLst>
            </c:dLbl>
            <c:dLbl>
              <c:idx val="3"/>
              <c:layout>
                <c:manualLayout>
                  <c:x val="6.5520065520064319E-3"/>
                  <c:y val="6.64451827242524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EBC-4C15-82EC-FF8283C31652}"/>
                </c:ext>
              </c:extLst>
            </c:dLbl>
            <c:dLbl>
              <c:idx val="6"/>
              <c:layout>
                <c:manualLayout>
                  <c:x val="-2.9484029484029485E-2"/>
                  <c:y val="7.087486157253598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EBC-4C15-82EC-FF8283C31652}"/>
                </c:ext>
              </c:extLst>
            </c:dLbl>
            <c:dLbl>
              <c:idx val="7"/>
              <c:layout>
                <c:manualLayout>
                  <c:x val="-9.8280098280098278E-3"/>
                  <c:y val="2.65780730897009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EBC-4C15-82EC-FF8283C3165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Subtotals!$A$35:$A$42</c:f>
              <c:strCache>
                <c:ptCount val="8"/>
                <c:pt idx="0">
                  <c:v>Food waste (non-meat)</c:v>
                </c:pt>
                <c:pt idx="1">
                  <c:v>Food waste (meat-only)</c:v>
                </c:pt>
                <c:pt idx="2">
                  <c:v>Beef</c:v>
                </c:pt>
                <c:pt idx="3">
                  <c:v>Poultry</c:v>
                </c:pt>
                <c:pt idx="4">
                  <c:v>Grain</c:v>
                </c:pt>
                <c:pt idx="5">
                  <c:v>Bread</c:v>
                </c:pt>
                <c:pt idx="6">
                  <c:v>Fruit and vegetable</c:v>
                </c:pt>
                <c:pt idx="7">
                  <c:v>Dairy products</c:v>
                </c:pt>
              </c:strCache>
            </c:strRef>
          </c:cat>
          <c:val>
            <c:numRef>
              <c:f>Subtotals!$B$35:$B$42</c:f>
              <c:numCache>
                <c:formatCode>General</c:formatCode>
                <c:ptCount val="8"/>
                <c:pt idx="0">
                  <c:v>1.73</c:v>
                </c:pt>
                <c:pt idx="1">
                  <c:v>0.23</c:v>
                </c:pt>
                <c:pt idx="2">
                  <c:v>0.88</c:v>
                </c:pt>
                <c:pt idx="3">
                  <c:v>0.57999999999999996</c:v>
                </c:pt>
                <c:pt idx="4">
                  <c:v>3.27</c:v>
                </c:pt>
                <c:pt idx="5">
                  <c:v>2.54</c:v>
                </c:pt>
                <c:pt idx="6">
                  <c:v>1.78</c:v>
                </c:pt>
                <c:pt idx="7">
                  <c:v>0.55000000000000004</c:v>
                </c:pt>
              </c:numCache>
            </c:numRef>
          </c:val>
          <c:extLst>
            <c:ext xmlns:c16="http://schemas.microsoft.com/office/drawing/2014/chart" uri="{C3380CC4-5D6E-409C-BE32-E72D297353CC}">
              <c16:uniqueId val="{00000012-BEBC-4C15-82EC-FF8283C31652}"/>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Cost percentage by WARM</a:t>
            </a:r>
            <a:r>
              <a:rPr lang="en-US" u="sng" baseline="0"/>
              <a:t> category</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AC2-4227-99A0-ED48A45C18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AC2-4227-99A0-ED48A45C183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AC2-4227-99A0-ED48A45C183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AC2-4227-99A0-ED48A45C183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AC2-4227-99A0-ED48A45C183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AC2-4227-99A0-ED48A45C183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AC2-4227-99A0-ED48A45C183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AC2-4227-99A0-ED48A45C1830}"/>
              </c:ext>
            </c:extLst>
          </c:dPt>
          <c:dLbls>
            <c:dLbl>
              <c:idx val="0"/>
              <c:layout>
                <c:manualLayout>
                  <c:x val="8.5257486607477923E-2"/>
                  <c:y val="2.2225721784776701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9083451196756249"/>
                      <c:h val="0.11980017497812774"/>
                    </c:manualLayout>
                  </c15:layout>
                </c:ext>
                <c:ext xmlns:c16="http://schemas.microsoft.com/office/drawing/2014/chart" uri="{C3380CC4-5D6E-409C-BE32-E72D297353CC}">
                  <c16:uniqueId val="{00000001-9AC2-4227-99A0-ED48A45C1830}"/>
                </c:ext>
              </c:extLst>
            </c:dLbl>
            <c:dLbl>
              <c:idx val="1"/>
              <c:layout>
                <c:manualLayout>
                  <c:x val="5.6474297842942549E-2"/>
                  <c:y val="3.333333333333333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7696256928779489"/>
                      <c:h val="0.13757795275590551"/>
                    </c:manualLayout>
                  </c15:layout>
                </c:ext>
                <c:ext xmlns:c16="http://schemas.microsoft.com/office/drawing/2014/chart" uri="{C3380CC4-5D6E-409C-BE32-E72D297353CC}">
                  <c16:uniqueId val="{00000003-9AC2-4227-99A0-ED48A45C1830}"/>
                </c:ext>
              </c:extLst>
            </c:dLbl>
            <c:dLbl>
              <c:idx val="2"/>
              <c:layout>
                <c:manualLayout>
                  <c:x val="5.896805896805897E-2"/>
                  <c:y val="6.666666666666666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AC2-4227-99A0-ED48A45C1830}"/>
                </c:ext>
              </c:extLst>
            </c:dLbl>
            <c:dLbl>
              <c:idx val="3"/>
              <c:layout>
                <c:manualLayout>
                  <c:x val="1.9656019656019656E-2"/>
                  <c:y val="0.1066666666666666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AC2-4227-99A0-ED48A45C1830}"/>
                </c:ext>
              </c:extLst>
            </c:dLbl>
            <c:dLbl>
              <c:idx val="7"/>
              <c:layout>
                <c:manualLayout>
                  <c:x val="1.3104013104013044E-2"/>
                  <c:y val="1.33333333333333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AC2-4227-99A0-ED48A45C18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Subtotals!$A$35:$A$42</c:f>
              <c:strCache>
                <c:ptCount val="8"/>
                <c:pt idx="0">
                  <c:v>Food waste (non-meat)</c:v>
                </c:pt>
                <c:pt idx="1">
                  <c:v>Food waste (meat-only)</c:v>
                </c:pt>
                <c:pt idx="2">
                  <c:v>Beef</c:v>
                </c:pt>
                <c:pt idx="3">
                  <c:v>Poultry</c:v>
                </c:pt>
                <c:pt idx="4">
                  <c:v>Grain</c:v>
                </c:pt>
                <c:pt idx="5">
                  <c:v>Bread</c:v>
                </c:pt>
                <c:pt idx="6">
                  <c:v>Fruit and vegetable</c:v>
                </c:pt>
                <c:pt idx="7">
                  <c:v>Dairy products</c:v>
                </c:pt>
              </c:strCache>
            </c:strRef>
          </c:cat>
          <c:val>
            <c:numRef>
              <c:f>Subtotals!$C$35:$C$42</c:f>
              <c:numCache>
                <c:formatCode>"$"#,##0.00</c:formatCode>
                <c:ptCount val="8"/>
                <c:pt idx="0">
                  <c:v>1.6780999999999999</c:v>
                </c:pt>
                <c:pt idx="1">
                  <c:v>0.22309999999999999</c:v>
                </c:pt>
                <c:pt idx="2">
                  <c:v>0.6512</c:v>
                </c:pt>
                <c:pt idx="3">
                  <c:v>0.42919999999999997</c:v>
                </c:pt>
                <c:pt idx="4">
                  <c:v>3.8258999999999999</c:v>
                </c:pt>
                <c:pt idx="5">
                  <c:v>1.651</c:v>
                </c:pt>
                <c:pt idx="6">
                  <c:v>4.0939999999999994</c:v>
                </c:pt>
                <c:pt idx="7">
                  <c:v>0.79200000000000004</c:v>
                </c:pt>
              </c:numCache>
            </c:numRef>
          </c:val>
          <c:extLst>
            <c:ext xmlns:c16="http://schemas.microsoft.com/office/drawing/2014/chart" uri="{C3380CC4-5D6E-409C-BE32-E72D297353CC}">
              <c16:uniqueId val="{00000012-9AC2-4227-99A0-ED48A45C1830}"/>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Waste percentage by</a:t>
            </a:r>
            <a:r>
              <a:rPr lang="en-US" u="sng" baseline="0"/>
              <a:t> loss reason</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CC-4C30-B668-4813A746B5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CC-4C30-B668-4813A746B5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CC-4C30-B668-4813A746B5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CC-4C30-B668-4813A746B51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CC-4C30-B668-4813A746B51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CC-4C30-B668-4813A746B5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Subtotals!$A$68:$A$73</c:f>
              <c:strCache>
                <c:ptCount val="6"/>
                <c:pt idx="0">
                  <c:v>Trimmings</c:v>
                </c:pt>
                <c:pt idx="1">
                  <c:v>Excess</c:v>
                </c:pt>
                <c:pt idx="2">
                  <c:v>Spill</c:v>
                </c:pt>
                <c:pt idx="3">
                  <c:v>Aesthetic</c:v>
                </c:pt>
                <c:pt idx="4">
                  <c:v>Spoilage</c:v>
                </c:pt>
                <c:pt idx="5">
                  <c:v>Out-date</c:v>
                </c:pt>
              </c:strCache>
            </c:strRef>
          </c:cat>
          <c:val>
            <c:numRef>
              <c:f>Subtotals!$B$68:$B$73</c:f>
              <c:numCache>
                <c:formatCode>General</c:formatCode>
                <c:ptCount val="6"/>
                <c:pt idx="0">
                  <c:v>1.73</c:v>
                </c:pt>
                <c:pt idx="1">
                  <c:v>0.23</c:v>
                </c:pt>
                <c:pt idx="2">
                  <c:v>0.88</c:v>
                </c:pt>
                <c:pt idx="3">
                  <c:v>0.57999999999999996</c:v>
                </c:pt>
                <c:pt idx="4">
                  <c:v>3.27</c:v>
                </c:pt>
                <c:pt idx="5">
                  <c:v>2.54</c:v>
                </c:pt>
              </c:numCache>
            </c:numRef>
          </c:val>
          <c:extLst>
            <c:ext xmlns:c16="http://schemas.microsoft.com/office/drawing/2014/chart" uri="{C3380CC4-5D6E-409C-BE32-E72D297353CC}">
              <c16:uniqueId val="{00000010-0FCC-4C30-B668-4813A746B511}"/>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Cost percentage by</a:t>
            </a:r>
            <a:r>
              <a:rPr lang="en-US" u="sng" baseline="0"/>
              <a:t> loss reason</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87-4A21-AC54-499055F2F9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87-4A21-AC54-499055F2F9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D87-4A21-AC54-499055F2F9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87-4A21-AC54-499055F2F9C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D87-4A21-AC54-499055F2F9C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D87-4A21-AC54-499055F2F9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Subtotals!$A$68:$A$73</c:f>
              <c:strCache>
                <c:ptCount val="6"/>
                <c:pt idx="0">
                  <c:v>Trimmings</c:v>
                </c:pt>
                <c:pt idx="1">
                  <c:v>Excess</c:v>
                </c:pt>
                <c:pt idx="2">
                  <c:v>Spill</c:v>
                </c:pt>
                <c:pt idx="3">
                  <c:v>Aesthetic</c:v>
                </c:pt>
                <c:pt idx="4">
                  <c:v>Spoilage</c:v>
                </c:pt>
                <c:pt idx="5">
                  <c:v>Out-date</c:v>
                </c:pt>
              </c:strCache>
            </c:strRef>
          </c:cat>
          <c:val>
            <c:numRef>
              <c:f>Subtotals!$C$68:$C$73</c:f>
              <c:numCache>
                <c:formatCode>"$"#,##0.00</c:formatCode>
                <c:ptCount val="6"/>
                <c:pt idx="0">
                  <c:v>1.6780999999999999</c:v>
                </c:pt>
                <c:pt idx="1">
                  <c:v>0.22309999999999999</c:v>
                </c:pt>
                <c:pt idx="2">
                  <c:v>0.6512</c:v>
                </c:pt>
                <c:pt idx="3">
                  <c:v>0.42919999999999997</c:v>
                </c:pt>
                <c:pt idx="4">
                  <c:v>3.8258999999999999</c:v>
                </c:pt>
                <c:pt idx="5">
                  <c:v>1.651</c:v>
                </c:pt>
              </c:numCache>
            </c:numRef>
          </c:val>
          <c:extLst>
            <c:ext xmlns:c16="http://schemas.microsoft.com/office/drawing/2014/chart" uri="{C3380CC4-5D6E-409C-BE32-E72D297353CC}">
              <c16:uniqueId val="{00000010-7D87-4A21-AC54-499055F2F9C8}"/>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Waste percentage by</a:t>
            </a:r>
            <a:r>
              <a:rPr lang="en-US" u="sng" baseline="0"/>
              <a:t> disposal</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2E-4063-A1A7-3F8494523A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2E-4063-A1A7-3F8494523A6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2E-4063-A1A7-3F8494523A6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2E-4063-A1A7-3F8494523A6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02E-4063-A1A7-3F8494523A6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Subtotals!$A$101:$A$105</c:f>
              <c:strCache>
                <c:ptCount val="5"/>
                <c:pt idx="0">
                  <c:v>Donation for people</c:v>
                </c:pt>
                <c:pt idx="1">
                  <c:v>Donation for animals</c:v>
                </c:pt>
                <c:pt idx="2">
                  <c:v>Industrial use</c:v>
                </c:pt>
                <c:pt idx="3">
                  <c:v>Composting</c:v>
                </c:pt>
                <c:pt idx="4">
                  <c:v>Landfill</c:v>
                </c:pt>
              </c:strCache>
            </c:strRef>
          </c:cat>
          <c:val>
            <c:numRef>
              <c:f>Subtotals!$B$101:$B$105</c:f>
              <c:numCache>
                <c:formatCode>General</c:formatCode>
                <c:ptCount val="5"/>
                <c:pt idx="0">
                  <c:v>3.27</c:v>
                </c:pt>
                <c:pt idx="1">
                  <c:v>0.57999999999999996</c:v>
                </c:pt>
                <c:pt idx="2">
                  <c:v>0.88</c:v>
                </c:pt>
                <c:pt idx="3">
                  <c:v>0.23</c:v>
                </c:pt>
                <c:pt idx="4">
                  <c:v>1.73</c:v>
                </c:pt>
              </c:numCache>
            </c:numRef>
          </c:val>
          <c:extLst>
            <c:ext xmlns:c16="http://schemas.microsoft.com/office/drawing/2014/chart" uri="{C3380CC4-5D6E-409C-BE32-E72D297353CC}">
              <c16:uniqueId val="{0000000C-302E-4063-A1A7-3F8494523A67}"/>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Cost percentage by</a:t>
            </a:r>
            <a:r>
              <a:rPr lang="en-US" u="sng" baseline="0"/>
              <a:t> disposal</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FC9-4EBC-9F87-DCDC382530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FC9-4EBC-9F87-DCDC382530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FC9-4EBC-9F87-DCDC382530B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FC9-4EBC-9F87-DCDC382530B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FC9-4EBC-9F87-DCDC382530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Subtotals!$A$101:$A$105</c:f>
              <c:strCache>
                <c:ptCount val="5"/>
                <c:pt idx="0">
                  <c:v>Donation for people</c:v>
                </c:pt>
                <c:pt idx="1">
                  <c:v>Donation for animals</c:v>
                </c:pt>
                <c:pt idx="2">
                  <c:v>Industrial use</c:v>
                </c:pt>
                <c:pt idx="3">
                  <c:v>Composting</c:v>
                </c:pt>
                <c:pt idx="4">
                  <c:v>Landfill</c:v>
                </c:pt>
              </c:strCache>
            </c:strRef>
          </c:cat>
          <c:val>
            <c:numRef>
              <c:f>Subtotals!$C$101:$C$105</c:f>
              <c:numCache>
                <c:formatCode>"$"#,##0.00</c:formatCode>
                <c:ptCount val="5"/>
                <c:pt idx="0">
                  <c:v>3.8258999999999999</c:v>
                </c:pt>
                <c:pt idx="1">
                  <c:v>0.42919999999999997</c:v>
                </c:pt>
                <c:pt idx="2">
                  <c:v>0.6512</c:v>
                </c:pt>
                <c:pt idx="3">
                  <c:v>0.22309999999999999</c:v>
                </c:pt>
                <c:pt idx="4">
                  <c:v>1.6780999999999999</c:v>
                </c:pt>
              </c:numCache>
            </c:numRef>
          </c:val>
          <c:extLst>
            <c:ext xmlns:c16="http://schemas.microsoft.com/office/drawing/2014/chart" uri="{C3380CC4-5D6E-409C-BE32-E72D297353CC}">
              <c16:uniqueId val="{0000000C-CFC9-4EBC-9F87-DCDC382530B6}"/>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u="sng"/>
              <a:t>Waste percentage by</a:t>
            </a:r>
            <a:r>
              <a:rPr lang="en-US" u="sng" baseline="0"/>
              <a:t> alternative disposal</a:t>
            </a:r>
            <a:endParaRPr lang="en-US"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A2-44B1-B6F0-6B333F2F6D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AA2-44B1-B6F0-6B333F2F6D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AA2-44B1-B6F0-6B333F2F6D9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AA2-44B1-B6F0-6B333F2F6D9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AA2-44B1-B6F0-6B333F2F6D9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97-43ED-9829-710F3CC66D9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Subtotals!$A$134:$A$139</c:f>
              <c:strCache>
                <c:ptCount val="6"/>
                <c:pt idx="0">
                  <c:v>Source reduction</c:v>
                </c:pt>
                <c:pt idx="1">
                  <c:v>Donation for people</c:v>
                </c:pt>
                <c:pt idx="2">
                  <c:v>Donation for animals</c:v>
                </c:pt>
                <c:pt idx="3">
                  <c:v>Industrial use</c:v>
                </c:pt>
                <c:pt idx="4">
                  <c:v>Composting</c:v>
                </c:pt>
                <c:pt idx="5">
                  <c:v>Landfill</c:v>
                </c:pt>
              </c:strCache>
            </c:strRef>
          </c:cat>
          <c:val>
            <c:numRef>
              <c:f>Subtotals!$B$134:$B$139</c:f>
              <c:numCache>
                <c:formatCode>General</c:formatCode>
                <c:ptCount val="6"/>
                <c:pt idx="0">
                  <c:v>1.73</c:v>
                </c:pt>
                <c:pt idx="1">
                  <c:v>0.23</c:v>
                </c:pt>
                <c:pt idx="2">
                  <c:v>0.88</c:v>
                </c:pt>
                <c:pt idx="3">
                  <c:v>0.57999999999999996</c:v>
                </c:pt>
                <c:pt idx="4">
                  <c:v>3.27</c:v>
                </c:pt>
                <c:pt idx="5">
                  <c:v>2.54</c:v>
                </c:pt>
              </c:numCache>
            </c:numRef>
          </c:val>
          <c:extLst>
            <c:ext xmlns:c16="http://schemas.microsoft.com/office/drawing/2014/chart" uri="{C3380CC4-5D6E-409C-BE32-E72D297353CC}">
              <c16:uniqueId val="{0000000A-2AA2-44B1-B6F0-6B333F2F6D99}"/>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xdr:colOff>
      <xdr:row>1</xdr:row>
      <xdr:rowOff>190499</xdr:rowOff>
    </xdr:from>
    <xdr:to>
      <xdr:col>9</xdr:col>
      <xdr:colOff>676274</xdr:colOff>
      <xdr:row>16</xdr:row>
      <xdr:rowOff>190499</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9526</xdr:colOff>
      <xdr:row>18</xdr:row>
      <xdr:rowOff>1173</xdr:rowOff>
    </xdr:from>
    <xdr:to>
      <xdr:col>9</xdr:col>
      <xdr:colOff>676276</xdr:colOff>
      <xdr:row>31</xdr:row>
      <xdr:rowOff>164124</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33</xdr:row>
      <xdr:rowOff>0</xdr:rowOff>
    </xdr:from>
    <xdr:to>
      <xdr:col>10</xdr:col>
      <xdr:colOff>9525</xdr:colOff>
      <xdr:row>48</xdr:row>
      <xdr:rowOff>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49</xdr:row>
      <xdr:rowOff>0</xdr:rowOff>
    </xdr:from>
    <xdr:to>
      <xdr:col>10</xdr:col>
      <xdr:colOff>0</xdr:colOff>
      <xdr:row>64</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9526</xdr:colOff>
      <xdr:row>66</xdr:row>
      <xdr:rowOff>0</xdr:rowOff>
    </xdr:from>
    <xdr:to>
      <xdr:col>9</xdr:col>
      <xdr:colOff>676276</xdr:colOff>
      <xdr:row>81</xdr:row>
      <xdr:rowOff>9525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9526</xdr:colOff>
      <xdr:row>81</xdr:row>
      <xdr:rowOff>180975</xdr:rowOff>
    </xdr:from>
    <xdr:to>
      <xdr:col>9</xdr:col>
      <xdr:colOff>676276</xdr:colOff>
      <xdr:row>96</xdr:row>
      <xdr:rowOff>180975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9525</xdr:colOff>
      <xdr:row>99</xdr:row>
      <xdr:rowOff>1</xdr:rowOff>
    </xdr:from>
    <xdr:to>
      <xdr:col>10</xdr:col>
      <xdr:colOff>0</xdr:colOff>
      <xdr:row>114</xdr:row>
      <xdr:rowOff>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115</xdr:row>
      <xdr:rowOff>0</xdr:rowOff>
    </xdr:from>
    <xdr:to>
      <xdr:col>10</xdr:col>
      <xdr:colOff>0</xdr:colOff>
      <xdr:row>130</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132</xdr:row>
      <xdr:rowOff>0</xdr:rowOff>
    </xdr:from>
    <xdr:to>
      <xdr:col>9</xdr:col>
      <xdr:colOff>679205</xdr:colOff>
      <xdr:row>146</xdr:row>
      <xdr:rowOff>190499</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148</xdr:row>
      <xdr:rowOff>0</xdr:rowOff>
    </xdr:from>
    <xdr:to>
      <xdr:col>9</xdr:col>
      <xdr:colOff>679205</xdr:colOff>
      <xdr:row>163</xdr:row>
      <xdr:rowOff>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0D82A34-C8EE-4E76-A21D-2D1420A18087}" name="Table22" displayName="Table22" ref="A14:F23" totalsRowShown="0" headerRowDxfId="55" dataDxfId="56" tableBorderDxfId="58">
  <autoFilter ref="A14:F23" xr:uid="{A0B68CFE-F2AA-4D61-8C8C-D544E02027EC}">
    <filterColumn colId="0" hiddenButton="1"/>
    <filterColumn colId="1" hiddenButton="1"/>
    <filterColumn colId="2" hiddenButton="1"/>
    <filterColumn colId="3" hiddenButton="1"/>
    <filterColumn colId="4" hiddenButton="1"/>
    <filterColumn colId="5" hiddenButton="1"/>
  </autoFilter>
  <tableColumns count="6">
    <tableColumn id="1" xr3:uid="{7CEE6E6F-3E0C-49B2-8DB5-77EB97B6A76E}" name="WARM category" dataDxfId="57"/>
    <tableColumn id="2" xr3:uid="{3478D31E-5425-4B91-85F4-B902052CEB1F}" name="Donation (people)" dataDxfId="35">
      <calculatedColumnFormula>SUM(B7:B14)</calculatedColumnFormula>
    </tableColumn>
    <tableColumn id="3" xr3:uid="{4F83C500-13F5-4B97-BD22-A7CA1379DEEC}" name="Donation (animals)" dataDxfId="50">
      <calculatedColumnFormula>Baseline!C17</calculatedColumnFormula>
    </tableColumn>
    <tableColumn id="4" xr3:uid="{468E5000-F736-416D-84F5-8F09565F2A21}" name="Industrial use" dataDxfId="46">
      <calculatedColumnFormula>Baseline!D17</calculatedColumnFormula>
    </tableColumn>
    <tableColumn id="5" xr3:uid="{D2D4E666-4FBA-45C3-B129-D882C985AFE3}" name="Composting" dataDxfId="49">
      <calculatedColumnFormula>Baseline!E17</calculatedColumnFormula>
    </tableColumn>
    <tableColumn id="6" xr3:uid="{77A6F093-655F-4B9D-936B-1D671BF185B3}" name="Landfill" dataDxfId="48">
      <calculatedColumnFormula>Baseline!F17</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AnEstAlt1" displayName="AnEstAlt1" ref="A142:C149" totalsRowCount="1" headerRowDxfId="68" totalsRowDxfId="161" headerRowBorderDxfId="163" tableBorderDxfId="162" totalsRowBorderDxfId="160">
  <autoFilter ref="A142:C148" xr:uid="{00000000-0009-0000-0100-00000A000000}">
    <filterColumn colId="0" hiddenButton="1"/>
    <filterColumn colId="1" hiddenButton="1"/>
    <filterColumn colId="2" hiddenButton="1"/>
  </autoFilter>
  <tableColumns count="3">
    <tableColumn id="1" xr3:uid="{00000000-0010-0000-0700-000001000000}" name="Alternative disposal" totalsRowLabel="Totals" totalsRowDxfId="159"/>
    <tableColumn id="2" xr3:uid="{00000000-0010-0000-0700-000002000000}" name="Tons of waste" totalsRowFunction="custom" totalsRowDxfId="158">
      <calculatedColumnFormula>B131*#REF!/2000</calculatedColumnFormula>
      <totalsRowFormula>SUM(B143:B148)</totalsRowFormula>
    </tableColumn>
    <tableColumn id="3" xr3:uid="{00000000-0010-0000-0700-000003000000}" name="Cost / value" totalsRowFunction="sum" totalsRowDxfId="157">
      <calculatedColumnFormula>C131*#REF!</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2E4ED8E-5CDA-4C91-AF37-F12C1DEEC9DA}" name="SumMes" displayName="SumMes" ref="A4:G13" totalsRowCount="1" headerRowDxfId="90" totalsRowDxfId="89" headerRowBorderDxfId="87" tableBorderDxfId="88" totalsRowBorderDxfId="86">
  <autoFilter ref="A4:G12" xr:uid="{00000000-0009-0000-0100-000001000000}">
    <filterColumn colId="0" hiddenButton="1"/>
    <filterColumn colId="1" hiddenButton="1"/>
    <filterColumn colId="2" hiddenButton="1"/>
    <filterColumn colId="3" hiddenButton="1"/>
    <filterColumn colId="4" hiddenButton="1"/>
  </autoFilter>
  <tableColumns count="7">
    <tableColumn id="1" xr3:uid="{EB6C8DAB-EA2D-46DB-AA90-5D356E5AEA11}" name="WARM category" totalsRowLabel="Totals" totalsRowDxfId="67"/>
    <tableColumn id="2" xr3:uid="{6DD0F19E-00E8-4F17-BEBD-3A374F23B82F}" name="Landfill" totalsRowFunction="custom" dataDxfId="85" totalsRowDxfId="66">
      <calculatedColumnFormula>SUMIFS(Input[Weight (lbs.)],Input[Disposal],"Landfill",Input[WARM category],A5)</calculatedColumnFormula>
      <totalsRowFormula>SUM(B5:B12)</totalsRowFormula>
    </tableColumn>
    <tableColumn id="3" xr3:uid="{ECCDD975-C663-4624-893C-04FE8B94640D}" name="Composting" totalsRowFunction="custom" dataDxfId="84" totalsRowDxfId="65">
      <calculatedColumnFormula>SUMIFS(Input[Weight (lbs.)],Input[Disposal],"Composting",Input[WARM category],A5)</calculatedColumnFormula>
      <totalsRowFormula>SUM(C5:C12)</totalsRowFormula>
    </tableColumn>
    <tableColumn id="4" xr3:uid="{8A4F0F51-E8FF-4EAE-8B6A-D7D3F3C90B66}" name="Industrial Use" totalsRowFunction="custom" dataDxfId="83" totalsRowDxfId="64">
      <calculatedColumnFormula>SUMIFS(Input[Weight (lbs.)],Input[Disposal],"Industrial Use",Input[WARM category],A5)</calculatedColumnFormula>
      <totalsRowFormula>SUM(D5:D12)</totalsRowFormula>
    </tableColumn>
    <tableColumn id="5" xr3:uid="{74C4147E-8E69-4DB5-891F-7645CAEB4975}" name="Donations to feed animals" totalsRowFunction="custom" dataDxfId="82" totalsRowDxfId="63">
      <calculatedColumnFormula>SUMIFS(Input[Weight (lbs.)],Input[Disposal],"Donation for animals",Input[WARM category],A5)</calculatedColumnFormula>
      <totalsRowFormula>SUM(E5:E12)</totalsRowFormula>
    </tableColumn>
    <tableColumn id="6" xr3:uid="{511C222D-E535-461D-8013-7EE600040D0E}" name="Donations to feed people" totalsRowFunction="custom" dataDxfId="81" totalsRowDxfId="62">
      <calculatedColumnFormula>SUMIFS(Input[Weight (lbs.)],Input[Disposal],"Donation for people",Input[WARM category],A5)</calculatedColumnFormula>
      <totalsRowFormula>SUM(F5:F12)</totalsRowFormula>
    </tableColumn>
    <tableColumn id="7" xr3:uid="{C4EC4A9F-04A7-46CA-896E-9D67F1E56A75}" name="Totals" totalsRowFunction="custom" dataDxfId="74" totalsRowDxfId="61">
      <calculatedColumnFormula>SUM(B5:F5)</calculatedColumnFormula>
      <totalsRowFormula>SUM(G5:G12)</totalsRowFormula>
    </tableColumn>
  </tableColumns>
  <tableStyleInfo name="TableStyleMedium2" showFirstColumn="0"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960E4C9-27BD-42F8-B6BB-6725F905104A}" name="AnBLest" displayName="AnBLest" ref="A16:G25" totalsRowCount="1" headerRowDxfId="73" totalsRowDxfId="72" headerRowBorderDxfId="59" tableBorderDxfId="71" totalsRowBorderDxfId="70">
  <autoFilter ref="A16:G24" xr:uid="{669AFAE1-648A-4C87-908F-EEC5C83D876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2A4E1D-653E-4F43-86CE-DC150CEDDF5F}" name="WARM category" totalsRowLabel="Totals" dataDxfId="60" totalsRowDxfId="28"/>
    <tableColumn id="2" xr3:uid="{3B0EDFB4-36E4-4A0A-BD53-2759E3698FB7}" name="Landfill" totalsRowFunction="custom" dataDxfId="33" totalsRowDxfId="27">
      <calculatedColumnFormula>SUMIFS(Input[Weight (lbs.)],Input[Disposal],"Landfill",Input[WARM category],A17)*Input!D1/2000</calculatedColumnFormula>
      <totalsRowFormula>SUM(B17:B24)</totalsRowFormula>
    </tableColumn>
    <tableColumn id="3" xr3:uid="{759E091C-7F87-4B5D-A948-18528D4CC1CB}" name="Composting" totalsRowFunction="custom" dataDxfId="32" totalsRowDxfId="26">
      <calculatedColumnFormula>SUMIFS(Input[Weight (lbs.)],Input[Disposal],"Composting",Input[WARM category],A17)*Input!D1/2000</calculatedColumnFormula>
      <totalsRowFormula>SUM(C17:C24)</totalsRowFormula>
    </tableColumn>
    <tableColumn id="4" xr3:uid="{429ECF7B-2C38-4765-83F5-B7CA880BF7C5}" name="Industrial Use" totalsRowFunction="custom" dataDxfId="31" totalsRowDxfId="25">
      <calculatedColumnFormula>SUMIFS(Input[Weight (lbs.)],Input[Disposal],"Industrial Use",Input[WARM category],A17)*Input!D1/2000</calculatedColumnFormula>
      <totalsRowFormula>SUM(D17:D24)</totalsRowFormula>
    </tableColumn>
    <tableColumn id="5" xr3:uid="{B25774BF-6684-437E-B2AD-82388649C6F1}" name="Donations to feed animals" totalsRowFunction="custom" dataDxfId="30" totalsRowDxfId="24">
      <calculatedColumnFormula>SUMIFS(Input[Weight (lbs.)],Input[Disposal],"Donation for animals",Input[WARM category],A17)*Input!D1/2000</calculatedColumnFormula>
      <totalsRowFormula>SUM(E17:E24)</totalsRowFormula>
    </tableColumn>
    <tableColumn id="6" xr3:uid="{7462F361-CC28-483D-A170-5A49A907C810}" name="Donations to feed people" totalsRowFunction="custom" dataDxfId="29" totalsRowDxfId="23">
      <calculatedColumnFormula>SUMIFS(Input[Weight (lbs.)],Input[Disposal],"Donation for people",Input[WARM category],A17)*Input!D1/2000</calculatedColumnFormula>
      <totalsRowFormula>SUM(F17:F24)</totalsRowFormula>
    </tableColumn>
    <tableColumn id="7" xr3:uid="{4CCDBA05-E7C9-4BB4-916F-4A51BA5E1EF7}" name="Totals" totalsRowFunction="custom" dataDxfId="69" totalsRowDxfId="22">
      <calculatedColumnFormula>SUM(B17:F17)</calculatedColumnFormula>
      <totalsRowFormula>SUM(G17:G24)</totalsRowFormula>
    </tableColumn>
  </tableColumns>
  <tableStyleInfo name="TableStyleMedium2" showFirstColumn="0"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Diversion2" displayName="Diversion2" ref="A16:E25" totalsRowCount="1" headerRowDxfId="44" totalsRowDxfId="154" headerRowBorderDxfId="156" tableBorderDxfId="155" totalsRowBorderDxfId="153">
  <autoFilter ref="A16:E24" xr:uid="{00000000-0009-0000-0100-000001000000}">
    <filterColumn colId="0" hiddenButton="1"/>
    <filterColumn colId="1" hiddenButton="1"/>
    <filterColumn colId="2" hiddenButton="1"/>
    <filterColumn colId="3" hiddenButton="1"/>
    <filterColumn colId="4" hiddenButton="1"/>
  </autoFilter>
  <tableColumns count="5">
    <tableColumn id="1" xr3:uid="{00000000-0010-0000-0800-000001000000}" name="WARM category" totalsRowLabel="Totals" totalsRowDxfId="152"/>
    <tableColumn id="2" xr3:uid="{00000000-0010-0000-0800-000002000000}" name="Weight (lbs.)" totalsRowFunction="custom" totalsRowDxfId="151">
      <calculatedColumnFormula>SUMIFS(Input[Weight (lbs.)],Input[Disposal],"Landfill",Input[Alternative disposal],"Donation for people",Input[WARM category],A17)</calculatedColumnFormula>
      <totalsRowFormula>SUM(B17:B24)</totalsRowFormula>
    </tableColumn>
    <tableColumn id="3" xr3:uid="{00000000-0010-0000-0800-000003000000}" name="Estimated    annual tons" totalsRowFunction="custom" totalsRowDxfId="150">
      <calculatedColumnFormula>B17*Input!D2/2000</calculatedColumnFormula>
      <totalsRowFormula>SUM(C17:C24)</totalsRowFormula>
    </tableColumn>
    <tableColumn id="4" xr3:uid="{00000000-0010-0000-0800-000004000000}" name="Assumed loss rate (%)" totalsRowDxfId="149"/>
    <tableColumn id="5" xr3:uid="{00000000-0010-0000-0800-000005000000}" name="Estimated annual diversion (tons)" totalsRowFunction="sum" totalsRowDxfId="148">
      <calculatedColumnFormula>C17*(1-(D17/100))</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Diversion3" displayName="Diversion3" ref="A29:E38" totalsRowCount="1" headerRowDxfId="43" totalsRowDxfId="145" headerRowBorderDxfId="147" tableBorderDxfId="146" totalsRowBorderDxfId="144">
  <autoFilter ref="A29:E37" xr:uid="{00000000-0009-0000-0100-000005000000}">
    <filterColumn colId="0" hiddenButton="1"/>
    <filterColumn colId="1" hiddenButton="1"/>
    <filterColumn colId="2" hiddenButton="1"/>
    <filterColumn colId="3" hiddenButton="1"/>
    <filterColumn colId="4" hiddenButton="1"/>
  </autoFilter>
  <tableColumns count="5">
    <tableColumn id="1" xr3:uid="{00000000-0010-0000-0900-000001000000}" name="WARM category" totalsRowLabel="Totals" dataDxfId="143" totalsRowDxfId="142"/>
    <tableColumn id="2" xr3:uid="{00000000-0010-0000-0900-000002000000}" name="Weight (lbs.)" totalsRowFunction="custom" dataDxfId="141" totalsRowDxfId="140">
      <calculatedColumnFormula>SUMIFS(Input[Weight (lbs.)],Input[Disposal],"Landfill",Input[Alternative disposal],"Donation for animals",Input[WARM category],A30)</calculatedColumnFormula>
      <totalsRowFormula>SUM(B30:B37)</totalsRowFormula>
    </tableColumn>
    <tableColumn id="3" xr3:uid="{00000000-0010-0000-0900-000003000000}" name="Estimated    annual tons" totalsRowFunction="custom" dataDxfId="139" totalsRowDxfId="138">
      <calculatedColumnFormula>B30*Input!D2/2000</calculatedColumnFormula>
      <totalsRowFormula>SUM(C30:C37)</totalsRowFormula>
    </tableColumn>
    <tableColumn id="4" xr3:uid="{00000000-0010-0000-0900-000004000000}" name="Assumed loss rate (%)" dataDxfId="137" totalsRowDxfId="136"/>
    <tableColumn id="5" xr3:uid="{00000000-0010-0000-0900-000005000000}" name="Estimated annual diversion (tons)" totalsRowFunction="sum" dataDxfId="135" totalsRowDxfId="134">
      <calculatedColumnFormula>C30*(1-(D30/100))</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Diversion4" displayName="Diversion4" ref="A41:C50" totalsRowCount="1" headerRowDxfId="42" totalsRowDxfId="131" headerRowBorderDxfId="133" tableBorderDxfId="132" totalsRowBorderDxfId="130">
  <autoFilter ref="A41:C49" xr:uid="{00000000-0009-0000-0100-000010000000}">
    <filterColumn colId="0" hiddenButton="1"/>
    <filterColumn colId="1" hiddenButton="1"/>
    <filterColumn colId="2" hiddenButton="1"/>
  </autoFilter>
  <tableColumns count="3">
    <tableColumn id="1" xr3:uid="{00000000-0010-0000-0A00-000001000000}" name="WARM category" totalsRowLabel="Totals" dataDxfId="129" totalsRowDxfId="128"/>
    <tableColumn id="2" xr3:uid="{00000000-0010-0000-0A00-000002000000}" name="Weight (lbs.)" totalsRowFunction="custom" dataDxfId="127" totalsRowDxfId="126">
      <calculatedColumnFormula>SUMIFS(Input[Weight (lbs.)],Input[Alternative disposal],"Industrial use",Input[WARM category],A42)</calculatedColumnFormula>
      <totalsRowFormula>SUM(B42:B49)</totalsRowFormula>
    </tableColumn>
    <tableColumn id="3" xr3:uid="{00000000-0010-0000-0A00-000003000000}" name="Estimated annual diversion (tons)" totalsRowFunction="custom" dataDxfId="125" totalsRowDxfId="124">
      <calculatedColumnFormula>B42*Input!D17/2000</calculatedColumnFormula>
      <totalsRowFormula>SUM(C42:C49)</totalsRowFormula>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Diversion5" displayName="Diversion5" ref="F41:H50" totalsRowCount="1" headerRowDxfId="41" totalsRowDxfId="121" headerRowBorderDxfId="123" tableBorderDxfId="122" totalsRowBorderDxfId="120">
  <autoFilter ref="F41:H49" xr:uid="{00000000-0009-0000-0100-000011000000}">
    <filterColumn colId="0" hiddenButton="1"/>
    <filterColumn colId="1" hiddenButton="1"/>
    <filterColumn colId="2" hiddenButton="1"/>
  </autoFilter>
  <tableColumns count="3">
    <tableColumn id="1" xr3:uid="{00000000-0010-0000-0B00-000001000000}" name="WARM category" totalsRowLabel="Totals" dataDxfId="119" totalsRowDxfId="118"/>
    <tableColumn id="2" xr3:uid="{00000000-0010-0000-0B00-000002000000}" name="Weight (lbs.)" totalsRowFunction="custom" dataDxfId="117" totalsRowDxfId="116">
      <calculatedColumnFormula>SUMIFS(Input[Weight (lbs.)],Input[Disposal],"Landfill",Input[Alternative disposal],"Composting",Input[WARM category],F42)</calculatedColumnFormula>
      <totalsRowFormula>SUM(G42:G49)</totalsRowFormula>
    </tableColumn>
    <tableColumn id="3" xr3:uid="{00000000-0010-0000-0B00-000003000000}" name="Estimated annual diversion (tons)" totalsRowFunction="custom" dataDxfId="115" totalsRowDxfId="114">
      <calculatedColumnFormula>G42*Input!D26/2000</calculatedColumnFormula>
      <totalsRowFormula>SUM(H42:H49)</totalsRowFormula>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C000000}" name="Diversion1" displayName="Diversion1" ref="A4:C13" totalsRowCount="1" headerRowDxfId="45" totalsRowDxfId="111" headerRowBorderDxfId="113" tableBorderDxfId="112" totalsRowBorderDxfId="110">
  <autoFilter ref="A4:C12" xr:uid="{00000000-0009-0000-0100-000014000000}">
    <filterColumn colId="0" hiddenButton="1"/>
    <filterColumn colId="1" hiddenButton="1"/>
    <filterColumn colId="2" hiddenButton="1"/>
  </autoFilter>
  <tableColumns count="3">
    <tableColumn id="1" xr3:uid="{00000000-0010-0000-0C00-000001000000}" name="WARM category" totalsRowLabel="Totals" dataDxfId="109" totalsRowDxfId="108"/>
    <tableColumn id="2" xr3:uid="{00000000-0010-0000-0C00-000002000000}" name="Weight (lbs.)" totalsRowFunction="custom" dataDxfId="107" totalsRowDxfId="106">
      <calculatedColumnFormula>SUMIFS(Input[Weight (lbs.)],Input[Disposal],"Landfill",Input[Alternative disposal],"Source reduction",Input[WARM category],A5)</calculatedColumnFormula>
      <totalsRowFormula>SUM(B5:B12)</totalsRowFormula>
    </tableColumn>
    <tableColumn id="3" xr3:uid="{00000000-0010-0000-0C00-000003000000}" name="Estimated annual diversion (tons)" totalsRowFunction="custom" dataDxfId="105" totalsRowDxfId="104">
      <calculatedColumnFormula>B5*Input!D2/2000</calculatedColumnFormula>
      <totalsRowFormula>SUM(C5:C12)</totalsRowFormula>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xInc" displayName="TaxInc" ref="A4:D22" totalsRowCount="1" headerRowDxfId="36" dataDxfId="102" totalsRowDxfId="100" headerRowBorderDxfId="103" tableBorderDxfId="101" totalsRowBorderDxfId="99">
  <autoFilter ref="A4:D21" xr:uid="{00000000-0009-0000-0100-00000E000000}">
    <filterColumn colId="0" hiddenButton="1"/>
    <filterColumn colId="1" hiddenButton="1"/>
    <filterColumn colId="2" hiddenButton="1"/>
    <filterColumn colId="3" hiddenButton="1"/>
  </autoFilter>
  <tableColumns count="4">
    <tableColumn id="1" xr3:uid="{00000000-0010-0000-0D00-000001000000}" name="Items eligible to be donated for human consumption" totalsRowLabel="Totals" dataDxfId="98" totalsRowDxfId="97"/>
    <tableColumn id="2" xr3:uid="{00000000-0010-0000-0D00-000002000000}" name="Total lbs." totalsRowFunction="custom" dataDxfId="96" totalsRowDxfId="95">
      <totalsRowFormula>SUM(B5:B21)</totalsRowFormula>
    </tableColumn>
    <tableColumn id="3" xr3:uid="{00000000-0010-0000-0D00-000003000000}" name="Basis value (per pound)" dataDxfId="94" totalsRowDxfId="93"/>
    <tableColumn id="4" xr3:uid="{00000000-0010-0000-0D00-000004000000}" name="Total basis value" totalsRowFunction="custom" dataDxfId="92" totalsRowDxfId="91">
      <totalsRowFormula>SUM(D5:D21)</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94076065-0C4F-40FA-8145-7DA346875178}" name="Table24" displayName="Table24" ref="G14:K23" totalsRowShown="0" headerRowDxfId="51" dataDxfId="47" headerRowBorderDxfId="52" tableBorderDxfId="53" totalsRowBorderDxfId="54">
  <autoFilter ref="G14:K23" xr:uid="{1DBCD124-4394-4583-997C-5FE288D4DE69}">
    <filterColumn colId="0" hiddenButton="1"/>
    <filterColumn colId="1" hiddenButton="1"/>
    <filterColumn colId="2" hiddenButton="1"/>
    <filterColumn colId="3" hiddenButton="1"/>
    <filterColumn colId="4" hiddenButton="1"/>
  </autoFilter>
  <tableColumns count="5">
    <tableColumn id="1" xr3:uid="{DA5F70F5-7863-4430-A374-74FA50772B11}" name="Source reduction" dataDxfId="34">
      <calculatedColumnFormula>Diversion!C5</calculatedColumnFormula>
    </tableColumn>
    <tableColumn id="2" xr3:uid="{7A83899E-A507-4519-B7D9-29FB2D3AB939}" name="Donation (people)" dataDxfId="40">
      <calculatedColumnFormula>Diversion!E17</calculatedColumnFormula>
    </tableColumn>
    <tableColumn id="3" xr3:uid="{E5A963F0-5E48-405D-AE1B-6A85A3BFD742}" name="Donation (animals)" dataDxfId="39">
      <calculatedColumnFormula>Diversion!E30</calculatedColumnFormula>
    </tableColumn>
    <tableColumn id="4" xr3:uid="{A5575DE6-B1B4-4664-9A2B-0C4E6A0F4FC7}" name="Industrial use" dataDxfId="38">
      <calculatedColumnFormula>Diversion!C42</calculatedColumnFormula>
    </tableColumn>
    <tableColumn id="5" xr3:uid="{65B6925C-45D1-4612-81B9-740461399146}" name="Composting" dataDxfId="37">
      <calculatedColumnFormula>Diversion!H42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Input" displayName="Input" ref="A5:K29" totalsRowCount="1" headerRowDxfId="75" dataDxfId="206" totalsRowDxfId="204" headerRowBorderDxfId="207" tableBorderDxfId="205" totalsRowBorderDxfId="203">
  <autoFilter ref="A5:K2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Date / shift" totalsRowLabel="Totals" dataDxfId="21" totalsRowDxfId="10"/>
    <tableColumn id="2" xr3:uid="{00000000-0010-0000-0000-000002000000}" name="Dept. / section" dataDxfId="20" totalsRowDxfId="9"/>
    <tableColumn id="3" xr3:uid="{00000000-0010-0000-0000-000003000000}" name="Food item" dataDxfId="19" totalsRowDxfId="8"/>
    <tableColumn id="6" xr3:uid="{00000000-0010-0000-0000-000006000000}" name="Weight (lbs.)" totalsRowFunction="sum" dataDxfId="18" totalsRowDxfId="7"/>
    <tableColumn id="7" xr3:uid="{00000000-0010-0000-0000-000007000000}" name="Price (per lb.)" dataDxfId="17" totalsRowDxfId="6"/>
    <tableColumn id="8" xr3:uid="{00000000-0010-0000-0000-000008000000}" name="Cost / value" totalsRowFunction="sum" dataDxfId="16" totalsRowDxfId="5">
      <calculatedColumnFormula>D6*E6</calculatedColumnFormula>
    </tableColumn>
    <tableColumn id="9" xr3:uid="{00000000-0010-0000-0000-000009000000}" name="Price basis" dataDxfId="15" totalsRowDxfId="4"/>
    <tableColumn id="10" xr3:uid="{00000000-0010-0000-0000-00000A000000}" name="WARM category" dataDxfId="14" totalsRowDxfId="3"/>
    <tableColumn id="13" xr3:uid="{00000000-0010-0000-0000-00000D000000}" name="Loss reason" dataDxfId="13" totalsRowDxfId="2"/>
    <tableColumn id="14" xr3:uid="{00000000-0010-0000-0000-00000E000000}" name="Disposal" dataDxfId="12" totalsRowDxfId="1"/>
    <tableColumn id="4" xr3:uid="{00000000-0010-0000-0000-000004000000}" name="Alternative disposal" dataDxfId="11" totalsRow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SubTot2" displayName="SubTot2" ref="A34:C42" totalsRowShown="0" headerRowDxfId="80" headerRowBorderDxfId="202" tableBorderDxfId="201" totalsRowBorderDxfId="200">
  <autoFilter ref="A34:C42" xr:uid="{00000000-0009-0000-0100-000007000000}">
    <filterColumn colId="0" hiddenButton="1"/>
    <filterColumn colId="1" hiddenButton="1"/>
    <filterColumn colId="2" hiddenButton="1"/>
  </autoFilter>
  <tableColumns count="3">
    <tableColumn id="1" xr3:uid="{00000000-0010-0000-0100-000001000000}" name="WARM category" dataDxfId="199"/>
    <tableColumn id="2" xr3:uid="{00000000-0010-0000-0100-000002000000}" name="Weight (lbs.)" dataDxfId="198">
      <calculatedColumnFormula>SUMIFS(Input[Weight (lbs.)],Input[WARM category],A35)</calculatedColumnFormula>
    </tableColumn>
    <tableColumn id="3" xr3:uid="{00000000-0010-0000-0100-000003000000}" name="Cost" dataDxfId="197">
      <calculatedColumnFormula>SUMIFS(Input[Cost / value],Input[WARM category],A35)</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SubTot3" displayName="SubTot3" ref="A67:C73" totalsRowShown="0" headerRowDxfId="77" headerRowBorderDxfId="196" tableBorderDxfId="195" totalsRowBorderDxfId="194">
  <autoFilter ref="A67:C73" xr:uid="{00000000-0009-0000-0100-000008000000}">
    <filterColumn colId="0" hiddenButton="1"/>
    <filterColumn colId="1" hiddenButton="1"/>
    <filterColumn colId="2" hiddenButton="1"/>
  </autoFilter>
  <tableColumns count="3">
    <tableColumn id="1" xr3:uid="{00000000-0010-0000-0200-000001000000}" name="Loss reason" dataDxfId="193"/>
    <tableColumn id="2" xr3:uid="{00000000-0010-0000-0200-000002000000}" name="Weight (lbs.)" dataDxfId="192">
      <calculatedColumnFormula>SUMIFS(Input[Weight (lbs.)],Input[Loss reason],A68)</calculatedColumnFormula>
    </tableColumn>
    <tableColumn id="3" xr3:uid="{00000000-0010-0000-0200-000003000000}" name="Cost" dataDxfId="191">
      <calculatedColumnFormula>SUMIFS(Input[Cost / value],Input[Loss reason],A68)</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ubTot1" displayName="SubTot1" ref="A3:C17" headerRowDxfId="79" totalsRowDxfId="188" headerRowBorderDxfId="190" tableBorderDxfId="189" totalsRowBorderDxfId="187">
  <autoFilter ref="A3:C17" xr:uid="{00000000-0009-0000-0100-000009000000}">
    <filterColumn colId="0" hiddenButton="1"/>
    <filterColumn colId="1" hiddenButton="1"/>
    <filterColumn colId="2" hiddenButton="1"/>
  </autoFilter>
  <tableColumns count="3">
    <tableColumn id="1" xr3:uid="{00000000-0010-0000-0300-000001000000}" name="Dept. / section" totalsRowLabel="Total" totalsRowDxfId="186"/>
    <tableColumn id="2" xr3:uid="{00000000-0010-0000-0300-000002000000}" name="Weight (lbs.)" totalsRowFunction="sum" totalsRowDxfId="185">
      <calculatedColumnFormula>SUMIFS(Input[Weight (lbs.)],Input[Dept. / section],A4)</calculatedColumnFormula>
    </tableColumn>
    <tableColumn id="3" xr3:uid="{00000000-0010-0000-0300-000003000000}" name="Cost" totalsRowFunction="sum" totalsRowDxfId="184">
      <calculatedColumnFormula>SUMIFS(Input[Cost / value],Input[Dept. / section],A4)</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SubTot4" displayName="SubTot4" ref="A100:C105" totalsRowShown="0" headerRowDxfId="76" headerRowBorderDxfId="183" tableBorderDxfId="182" totalsRowBorderDxfId="181">
  <autoFilter ref="A100:C105" xr:uid="{00000000-0009-0000-0100-00000B000000}">
    <filterColumn colId="0" hiddenButton="1"/>
    <filterColumn colId="1" hiddenButton="1"/>
    <filterColumn colId="2" hiddenButton="1"/>
  </autoFilter>
  <tableColumns count="3">
    <tableColumn id="1" xr3:uid="{00000000-0010-0000-0400-000001000000}" name="Disposal" dataDxfId="180"/>
    <tableColumn id="2" xr3:uid="{00000000-0010-0000-0400-000002000000}" name="Weight (lbs.)" dataDxfId="179">
      <calculatedColumnFormula>SUMIFS(Input[Weight (lbs.)],Input[Disposal],A101)</calculatedColumnFormula>
    </tableColumn>
    <tableColumn id="3" xr3:uid="{00000000-0010-0000-0400-000003000000}" name="Cost" dataDxfId="178">
      <calculatedColumnFormula>SUMIFS(Input[Cost / value],Input[Disposal],A101)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AnEst1" displayName="AnEst1" ref="A45:C54" totalsRowCount="1" headerRowDxfId="78" totalsRowDxfId="175" headerRowBorderDxfId="177" tableBorderDxfId="176" totalsRowBorderDxfId="174">
  <autoFilter ref="A45:C53" xr:uid="{00000000-0009-0000-0100-000004000000}">
    <filterColumn colId="0" hiddenButton="1"/>
    <filterColumn colId="1" hiddenButton="1"/>
    <filterColumn colId="2" hiddenButton="1"/>
  </autoFilter>
  <tableColumns count="3">
    <tableColumn id="1" xr3:uid="{00000000-0010-0000-0500-000001000000}" name="WARM category" totalsRowLabel="Totals" totalsRowDxfId="173"/>
    <tableColumn id="2" xr3:uid="{00000000-0010-0000-0500-000002000000}" name="Tons of waste" totalsRowFunction="custom" totalsRowDxfId="172">
      <calculatedColumnFormula>B35*#REF!/2000</calculatedColumnFormula>
      <totalsRowFormula>SUM(B46:B53)</totalsRowFormula>
    </tableColumn>
    <tableColumn id="3" xr3:uid="{00000000-0010-0000-0500-000003000000}" name="Cost" totalsRowFunction="sum" totalsRowDxfId="171">
      <calculatedColumnFormula>C35*#REF!</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SubTot5" displayName="SubTot5" ref="A133:C139" totalsRowShown="0" headerRowDxfId="170" headerRowBorderDxfId="169" tableBorderDxfId="168" totalsRowBorderDxfId="167">
  <autoFilter ref="A133:C139" xr:uid="{00000000-0009-0000-0100-000003000000}">
    <filterColumn colId="0" hiddenButton="1"/>
    <filterColumn colId="1" hiddenButton="1"/>
    <filterColumn colId="2" hiddenButton="1"/>
  </autoFilter>
  <tableColumns count="3">
    <tableColumn id="1" xr3:uid="{00000000-0010-0000-0600-000001000000}" name="Alternative disposal" dataDxfId="166"/>
    <tableColumn id="2" xr3:uid="{00000000-0010-0000-0600-000002000000}" name="Weight (lbs.)" dataDxfId="165">
      <calculatedColumnFormula>SUMIFS(Input[Weight (lbs.)],Input[Alternative disposal],A134)</calculatedColumnFormula>
    </tableColumn>
    <tableColumn id="3" xr3:uid="{00000000-0010-0000-0600-000003000000}" name="Cost / value" dataDxfId="164">
      <calculatedColumnFormula>SUMIFS(Input[Cost / value],Input[Alternative disposal],A134)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vmlDrawing" Target="../drawings/vmlDrawing3.vml"/><Relationship Id="rId7"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www.refed.com/tools/food-waste-policy-finder/federal-policy/federal-tax-incentives" TargetMode="External"/><Relationship Id="rId4"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3" Type="http://schemas.openxmlformats.org/officeDocument/2006/relationships/hyperlink" Target="http://www.epa.gov/sites/production/files/2016-04/documents/food_donation_guidance.pdf" TargetMode="External"/><Relationship Id="rId2" Type="http://schemas.openxmlformats.org/officeDocument/2006/relationships/hyperlink" Target="http://www.refed.com/download" TargetMode="External"/><Relationship Id="rId1" Type="http://schemas.openxmlformats.org/officeDocument/2006/relationships/hyperlink" Target="http://www.bls.gov/regions/mid-atlantic/data/AverageRetailFoodAndEnergyPrices_USandMidwest_Table.htm" TargetMode="External"/><Relationship Id="rId6" Type="http://schemas.openxmlformats.org/officeDocument/2006/relationships/vmlDrawing" Target="../drawings/vmlDrawing7.vml"/><Relationship Id="rId5" Type="http://schemas.openxmlformats.org/officeDocument/2006/relationships/printerSettings" Target="../printerSettings/printerSettings7.bin"/><Relationship Id="rId4" Type="http://schemas.openxmlformats.org/officeDocument/2006/relationships/hyperlink" Target="http://www.epa.gov/warm/versions-waste-reduction-model-wa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
  <sheetViews>
    <sheetView tabSelected="1" view="pageLayout" zoomScale="115" zoomScaleNormal="100" zoomScalePageLayoutView="115" workbookViewId="0">
      <selection activeCell="H3" sqref="H3"/>
    </sheetView>
  </sheetViews>
  <sheetFormatPr defaultColWidth="9.109375" defaultRowHeight="14.4" x14ac:dyDescent="0.3"/>
  <cols>
    <col min="1" max="1" width="17.6640625" customWidth="1"/>
    <col min="2" max="2" width="8.88671875" customWidth="1"/>
    <col min="3" max="4" width="8.88671875" style="1" customWidth="1"/>
    <col min="5" max="5" width="9.109375" style="1" customWidth="1"/>
    <col min="6" max="7" width="8.88671875" customWidth="1"/>
    <col min="8" max="8" width="8.88671875" style="62" customWidth="1"/>
    <col min="9" max="10" width="8.88671875" customWidth="1"/>
    <col min="11" max="11" width="9.109375" customWidth="1"/>
    <col min="12" max="12" width="8.88671875" customWidth="1"/>
    <col min="13" max="13" width="12.44140625" customWidth="1"/>
    <col min="14" max="14" width="9.88671875" customWidth="1"/>
    <col min="15" max="15" width="11.109375" customWidth="1"/>
    <col min="16" max="21" width="8.88671875" customWidth="1"/>
  </cols>
  <sheetData>
    <row r="1" spans="1:13" ht="18" x14ac:dyDescent="0.3">
      <c r="A1" s="136" t="s">
        <v>189</v>
      </c>
      <c r="B1" s="136"/>
      <c r="C1" s="136"/>
      <c r="D1" s="136"/>
      <c r="E1" s="136"/>
      <c r="F1" s="136"/>
      <c r="G1" s="136"/>
      <c r="H1" s="136"/>
      <c r="I1" s="136"/>
      <c r="J1" s="136"/>
      <c r="K1" s="136"/>
      <c r="L1" s="136"/>
      <c r="M1" s="136"/>
    </row>
    <row r="2" spans="1:13" ht="18.600000000000001" thickBot="1" x14ac:dyDescent="0.4">
      <c r="A2" s="45"/>
      <c r="B2" s="45"/>
      <c r="C2" s="45"/>
      <c r="D2" s="45"/>
      <c r="E2" s="45"/>
      <c r="F2" s="45"/>
      <c r="G2" s="45"/>
      <c r="H2" s="45"/>
      <c r="I2" s="45"/>
      <c r="J2" s="45"/>
    </row>
    <row r="3" spans="1:13" ht="16.2" thickBot="1" x14ac:dyDescent="0.35">
      <c r="A3" s="137" t="s">
        <v>129</v>
      </c>
      <c r="B3" s="138"/>
      <c r="C3" s="138"/>
      <c r="D3" s="138"/>
      <c r="E3" s="138"/>
      <c r="F3" s="139"/>
      <c r="G3" s="66"/>
      <c r="H3" s="67"/>
      <c r="I3" s="66"/>
      <c r="J3" s="66"/>
    </row>
    <row r="4" spans="1:13" ht="15.6" x14ac:dyDescent="0.3">
      <c r="A4" s="40" t="s">
        <v>115</v>
      </c>
      <c r="B4" s="298" t="s">
        <v>119</v>
      </c>
      <c r="C4" s="299"/>
      <c r="D4" s="299"/>
      <c r="E4" s="299"/>
      <c r="F4" s="300"/>
      <c r="G4" s="66"/>
      <c r="H4" s="67"/>
      <c r="I4" s="66"/>
      <c r="J4" s="66"/>
    </row>
    <row r="5" spans="1:13" ht="15.6" x14ac:dyDescent="0.3">
      <c r="A5" s="41" t="s">
        <v>116</v>
      </c>
      <c r="B5" s="301" t="s">
        <v>120</v>
      </c>
      <c r="C5" s="302"/>
      <c r="D5" s="302"/>
      <c r="E5" s="302"/>
      <c r="F5" s="303"/>
      <c r="G5" s="66"/>
      <c r="H5" s="67"/>
      <c r="I5" s="66"/>
      <c r="J5" s="66"/>
    </row>
    <row r="6" spans="1:13" ht="15.6" x14ac:dyDescent="0.3">
      <c r="A6" s="328" t="s">
        <v>133</v>
      </c>
      <c r="B6" s="304" t="s">
        <v>132</v>
      </c>
      <c r="C6" s="305"/>
      <c r="D6" s="305"/>
      <c r="E6" s="305"/>
      <c r="F6" s="306"/>
      <c r="G6" s="66"/>
      <c r="H6" s="67"/>
      <c r="I6" s="66"/>
      <c r="J6" s="68"/>
      <c r="K6" s="65"/>
    </row>
    <row r="7" spans="1:13" ht="15.6" x14ac:dyDescent="0.3">
      <c r="A7" s="72" t="s">
        <v>130</v>
      </c>
      <c r="B7" s="304" t="s">
        <v>134</v>
      </c>
      <c r="C7" s="305"/>
      <c r="D7" s="305"/>
      <c r="E7" s="305"/>
      <c r="F7" s="306"/>
      <c r="G7" s="66"/>
      <c r="H7" s="67"/>
      <c r="I7" s="66"/>
      <c r="J7" s="68"/>
      <c r="K7" s="65"/>
    </row>
    <row r="8" spans="1:13" ht="15.6" x14ac:dyDescent="0.3">
      <c r="A8" s="72" t="s">
        <v>131</v>
      </c>
      <c r="B8" s="304" t="s">
        <v>135</v>
      </c>
      <c r="C8" s="305"/>
      <c r="D8" s="305"/>
      <c r="E8" s="305"/>
      <c r="F8" s="306"/>
      <c r="G8" s="66"/>
      <c r="H8" s="67"/>
      <c r="I8" s="66"/>
      <c r="J8" s="68"/>
      <c r="K8" s="65"/>
    </row>
    <row r="9" spans="1:13" ht="15.6" x14ac:dyDescent="0.3">
      <c r="A9" s="329" t="s">
        <v>124</v>
      </c>
      <c r="B9" s="307" t="s">
        <v>117</v>
      </c>
      <c r="C9" s="308"/>
      <c r="D9" s="308"/>
      <c r="E9" s="308"/>
      <c r="F9" s="309"/>
      <c r="G9" s="66"/>
      <c r="H9" s="66"/>
      <c r="I9" s="66"/>
      <c r="J9" s="66"/>
    </row>
    <row r="10" spans="1:13" ht="15.75" customHeight="1" thickBot="1" x14ac:dyDescent="0.35">
      <c r="A10" s="73" t="s">
        <v>125</v>
      </c>
      <c r="B10" s="310" t="s">
        <v>118</v>
      </c>
      <c r="C10" s="311"/>
      <c r="D10" s="311"/>
      <c r="E10" s="311"/>
      <c r="F10" s="312"/>
      <c r="G10" s="66"/>
      <c r="H10" s="66"/>
      <c r="I10" s="66"/>
      <c r="J10" s="66"/>
    </row>
    <row r="11" spans="1:13" ht="16.2" thickBot="1" x14ac:dyDescent="0.35">
      <c r="A11" s="66"/>
      <c r="B11" s="66"/>
      <c r="C11" s="66"/>
      <c r="D11" s="66"/>
      <c r="E11" s="66"/>
      <c r="F11" s="66"/>
      <c r="G11" s="10"/>
      <c r="H11" s="10"/>
      <c r="I11" s="10"/>
      <c r="J11" s="10"/>
      <c r="K11" s="10"/>
    </row>
    <row r="12" spans="1:13" ht="15.75" customHeight="1" x14ac:dyDescent="0.3">
      <c r="A12" s="351" t="s">
        <v>183</v>
      </c>
      <c r="B12" s="352"/>
      <c r="C12" s="352"/>
      <c r="D12" s="352"/>
      <c r="E12" s="352"/>
      <c r="F12" s="352"/>
      <c r="G12" s="352"/>
      <c r="H12" s="352"/>
      <c r="I12" s="352"/>
      <c r="J12" s="352"/>
      <c r="K12" s="353"/>
      <c r="L12" s="354"/>
    </row>
    <row r="13" spans="1:13" ht="15.75" customHeight="1" x14ac:dyDescent="0.3">
      <c r="A13" s="132"/>
      <c r="B13" s="133" t="s">
        <v>184</v>
      </c>
      <c r="C13" s="134"/>
      <c r="D13" s="134"/>
      <c r="E13" s="134"/>
      <c r="F13" s="135"/>
      <c r="G13" s="338" t="s">
        <v>185</v>
      </c>
      <c r="H13" s="339"/>
      <c r="I13" s="339"/>
      <c r="J13" s="339"/>
      <c r="K13" s="340"/>
      <c r="L13" s="355"/>
    </row>
    <row r="14" spans="1:13" ht="33.75" customHeight="1" thickBot="1" x14ac:dyDescent="0.35">
      <c r="A14" s="330" t="s">
        <v>81</v>
      </c>
      <c r="B14" s="331" t="s">
        <v>167</v>
      </c>
      <c r="C14" s="332" t="s">
        <v>168</v>
      </c>
      <c r="D14" s="332" t="s">
        <v>64</v>
      </c>
      <c r="E14" s="333" t="s">
        <v>65</v>
      </c>
      <c r="F14" s="334" t="s">
        <v>66</v>
      </c>
      <c r="G14" s="335" t="s">
        <v>169</v>
      </c>
      <c r="H14" s="336" t="s">
        <v>167</v>
      </c>
      <c r="I14" s="336" t="s">
        <v>168</v>
      </c>
      <c r="J14" s="336" t="s">
        <v>64</v>
      </c>
      <c r="K14" s="337" t="s">
        <v>65</v>
      </c>
    </row>
    <row r="15" spans="1:13" ht="15.75" customHeight="1" x14ac:dyDescent="0.3">
      <c r="A15" s="390" t="s">
        <v>39</v>
      </c>
      <c r="B15" s="387">
        <f>Baseline!B17</f>
        <v>0.31572500000000003</v>
      </c>
      <c r="C15" s="341">
        <f>Baseline!C17</f>
        <v>0</v>
      </c>
      <c r="D15" s="341">
        <f>Baseline!D17</f>
        <v>0</v>
      </c>
      <c r="E15" s="341">
        <f>Baseline!E17</f>
        <v>0</v>
      </c>
      <c r="F15" s="341">
        <f>Baseline!F17</f>
        <v>0</v>
      </c>
      <c r="G15" s="344">
        <f>Diversion!C5</f>
        <v>0.31572500000000003</v>
      </c>
      <c r="H15" s="347">
        <f>Diversion!E17</f>
        <v>0</v>
      </c>
      <c r="I15" s="347">
        <f>Diversion!E30</f>
        <v>0</v>
      </c>
      <c r="J15" s="348">
        <f>Diversion!C42</f>
        <v>0</v>
      </c>
      <c r="K15" s="348">
        <f>Diversion!H42</f>
        <v>0</v>
      </c>
    </row>
    <row r="16" spans="1:13" ht="15.75" customHeight="1" x14ac:dyDescent="0.3">
      <c r="A16" s="391" t="s">
        <v>40</v>
      </c>
      <c r="B16" s="388">
        <f>Baseline!B18</f>
        <v>0</v>
      </c>
      <c r="C16" s="342">
        <f>Baseline!C18</f>
        <v>4.1974999999999998E-2</v>
      </c>
      <c r="D16" s="342">
        <f>Baseline!D18</f>
        <v>0</v>
      </c>
      <c r="E16" s="342">
        <f>Baseline!E18</f>
        <v>0</v>
      </c>
      <c r="F16" s="342">
        <f>Baseline!F18</f>
        <v>0</v>
      </c>
      <c r="G16" s="345">
        <f>Diversion!C6</f>
        <v>0</v>
      </c>
      <c r="H16" s="342">
        <f>Diversion!E18</f>
        <v>0</v>
      </c>
      <c r="I16" s="342">
        <f>Diversion!E31</f>
        <v>0</v>
      </c>
      <c r="J16" s="349">
        <f>Diversion!C43</f>
        <v>0</v>
      </c>
      <c r="K16" s="349">
        <f>Diversion!H43</f>
        <v>0</v>
      </c>
    </row>
    <row r="17" spans="1:11" ht="15.75" customHeight="1" x14ac:dyDescent="0.3">
      <c r="A17" s="391" t="s">
        <v>7</v>
      </c>
      <c r="B17" s="388">
        <f>Baseline!B19</f>
        <v>0</v>
      </c>
      <c r="C17" s="342">
        <f>Baseline!C19</f>
        <v>0</v>
      </c>
      <c r="D17" s="342">
        <f>Baseline!D19</f>
        <v>0.16059999999999999</v>
      </c>
      <c r="E17" s="342">
        <f>Baseline!E19</f>
        <v>0</v>
      </c>
      <c r="F17" s="342">
        <f>Baseline!F19</f>
        <v>0</v>
      </c>
      <c r="G17" s="345">
        <f>Diversion!C7</f>
        <v>0</v>
      </c>
      <c r="H17" s="342">
        <f>Diversion!E19</f>
        <v>0</v>
      </c>
      <c r="I17" s="342">
        <f>Diversion!E32</f>
        <v>0</v>
      </c>
      <c r="J17" s="349">
        <f>Diversion!C44</f>
        <v>0</v>
      </c>
      <c r="K17" s="349">
        <f>Diversion!H44</f>
        <v>0</v>
      </c>
    </row>
    <row r="18" spans="1:11" ht="15.75" customHeight="1" x14ac:dyDescent="0.3">
      <c r="A18" s="391" t="s">
        <v>8</v>
      </c>
      <c r="B18" s="388">
        <f>Baseline!B20</f>
        <v>0</v>
      </c>
      <c r="C18" s="342">
        <f>Baseline!C20</f>
        <v>0</v>
      </c>
      <c r="D18" s="342">
        <f>Baseline!D20</f>
        <v>0</v>
      </c>
      <c r="E18" s="342">
        <f>Baseline!E20</f>
        <v>0.10585</v>
      </c>
      <c r="F18" s="342">
        <f>Baseline!F20</f>
        <v>0</v>
      </c>
      <c r="G18" s="345">
        <f>Diversion!C8</f>
        <v>0</v>
      </c>
      <c r="H18" s="342">
        <f>Diversion!E20</f>
        <v>0</v>
      </c>
      <c r="I18" s="342">
        <f>Diversion!E33</f>
        <v>0</v>
      </c>
      <c r="J18" s="349">
        <f>Diversion!C45</f>
        <v>0</v>
      </c>
      <c r="K18" s="349">
        <f>Diversion!H45</f>
        <v>0</v>
      </c>
    </row>
    <row r="19" spans="1:11" ht="15.75" customHeight="1" x14ac:dyDescent="0.3">
      <c r="A19" s="391" t="s">
        <v>41</v>
      </c>
      <c r="B19" s="388">
        <f>Baseline!B21</f>
        <v>0</v>
      </c>
      <c r="C19" s="342">
        <f>Baseline!C21</f>
        <v>0</v>
      </c>
      <c r="D19" s="342">
        <f>Baseline!D21</f>
        <v>0</v>
      </c>
      <c r="E19" s="342">
        <f>Baseline!E21</f>
        <v>0</v>
      </c>
      <c r="F19" s="342">
        <f>Baseline!F21</f>
        <v>0.59677499999999994</v>
      </c>
      <c r="G19" s="345">
        <f>Diversion!C9</f>
        <v>0</v>
      </c>
      <c r="H19" s="342">
        <f>Diversion!E21</f>
        <v>0</v>
      </c>
      <c r="I19" s="342">
        <f>Diversion!E34</f>
        <v>0</v>
      </c>
      <c r="J19" s="349">
        <f>Diversion!C46</f>
        <v>0</v>
      </c>
      <c r="K19" s="349">
        <f>Diversion!H46</f>
        <v>0</v>
      </c>
    </row>
    <row r="20" spans="1:11" ht="15.75" customHeight="1" x14ac:dyDescent="0.3">
      <c r="A20" s="391" t="s">
        <v>9</v>
      </c>
      <c r="B20" s="388">
        <f>Baseline!B22</f>
        <v>0</v>
      </c>
      <c r="C20" s="342">
        <f>Baseline!C22</f>
        <v>0</v>
      </c>
      <c r="D20" s="342">
        <f>Baseline!D22</f>
        <v>0</v>
      </c>
      <c r="E20" s="342">
        <f>Baseline!E22</f>
        <v>0</v>
      </c>
      <c r="F20" s="342">
        <f>Baseline!F22</f>
        <v>0</v>
      </c>
      <c r="G20" s="345">
        <f>Diversion!C10</f>
        <v>0</v>
      </c>
      <c r="H20" s="342">
        <f>Diversion!E22</f>
        <v>0</v>
      </c>
      <c r="I20" s="342">
        <f>Diversion!E35</f>
        <v>0</v>
      </c>
      <c r="J20" s="349">
        <f>Diversion!C47</f>
        <v>0</v>
      </c>
      <c r="K20" s="349">
        <f>Diversion!H47</f>
        <v>0</v>
      </c>
    </row>
    <row r="21" spans="1:11" ht="15.75" customHeight="1" x14ac:dyDescent="0.3">
      <c r="A21" s="391" t="s">
        <v>42</v>
      </c>
      <c r="B21" s="388">
        <f>Baseline!B23</f>
        <v>0</v>
      </c>
      <c r="C21" s="342">
        <f>Baseline!C23</f>
        <v>0</v>
      </c>
      <c r="D21" s="342">
        <f>Baseline!D23</f>
        <v>0</v>
      </c>
      <c r="E21" s="342">
        <f>Baseline!E23</f>
        <v>0</v>
      </c>
      <c r="F21" s="342">
        <f>Baseline!F23</f>
        <v>0</v>
      </c>
      <c r="G21" s="345">
        <f>Diversion!C11</f>
        <v>0</v>
      </c>
      <c r="H21" s="342">
        <f>Diversion!E23</f>
        <v>0</v>
      </c>
      <c r="I21" s="342">
        <f>Diversion!E36</f>
        <v>0</v>
      </c>
      <c r="J21" s="349">
        <f>Diversion!C48</f>
        <v>0</v>
      </c>
      <c r="K21" s="349">
        <f>Diversion!H48</f>
        <v>0</v>
      </c>
    </row>
    <row r="22" spans="1:11" ht="15.75" customHeight="1" x14ac:dyDescent="0.3">
      <c r="A22" s="391" t="s">
        <v>43</v>
      </c>
      <c r="B22" s="389">
        <f>Baseline!B24</f>
        <v>0</v>
      </c>
      <c r="C22" s="343">
        <f>Baseline!C24</f>
        <v>0</v>
      </c>
      <c r="D22" s="343">
        <f>Baseline!D24</f>
        <v>0</v>
      </c>
      <c r="E22" s="343">
        <f>Baseline!E24</f>
        <v>0</v>
      </c>
      <c r="F22" s="343">
        <f>Baseline!F24</f>
        <v>0</v>
      </c>
      <c r="G22" s="346">
        <f>Diversion!C12</f>
        <v>0</v>
      </c>
      <c r="H22" s="343">
        <f>Diversion!E24</f>
        <v>0</v>
      </c>
      <c r="I22" s="343">
        <f>Diversion!E37</f>
        <v>0</v>
      </c>
      <c r="J22" s="350">
        <f>Diversion!C49</f>
        <v>0</v>
      </c>
      <c r="K22" s="350">
        <f>Diversion!H49</f>
        <v>0</v>
      </c>
    </row>
    <row r="23" spans="1:11" ht="15.75" customHeight="1" x14ac:dyDescent="0.3">
      <c r="A23" s="383" t="s">
        <v>102</v>
      </c>
      <c r="B23" s="384">
        <f t="shared" ref="B15:B23" si="0">SUM(B15:B22)</f>
        <v>0.31572500000000003</v>
      </c>
      <c r="C23" s="385">
        <f t="shared" ref="C23" si="1">SUM(C15:C22)</f>
        <v>4.1974999999999998E-2</v>
      </c>
      <c r="D23" s="385">
        <f t="shared" ref="D23" si="2">SUM(D15:D22)</f>
        <v>0.16059999999999999</v>
      </c>
      <c r="E23" s="385">
        <f t="shared" ref="E23" si="3">SUM(E15:E22)</f>
        <v>0.10585</v>
      </c>
      <c r="F23" s="385">
        <f t="shared" ref="F23" si="4">SUM(F15:F22)</f>
        <v>0.59677499999999994</v>
      </c>
      <c r="G23" s="386">
        <f>Diversion!C13</f>
        <v>0.31572500000000003</v>
      </c>
      <c r="H23" s="386">
        <f t="shared" ref="H23" si="5">SUM(H15:H22)</f>
        <v>0</v>
      </c>
      <c r="I23" s="386">
        <f t="shared" ref="I23" si="6">SUM(I15:I22)</f>
        <v>0</v>
      </c>
      <c r="J23" s="386">
        <f t="shared" ref="J23" si="7">SUM(J15:J22)</f>
        <v>0</v>
      </c>
      <c r="K23" s="386">
        <f t="shared" ref="K23" si="8">SUM(K15:K22)</f>
        <v>0</v>
      </c>
    </row>
    <row r="24" spans="1:11" ht="15.75" customHeight="1" x14ac:dyDescent="0.3">
      <c r="A24" s="66"/>
      <c r="B24" s="66"/>
      <c r="C24" s="66"/>
      <c r="D24" s="66"/>
      <c r="E24" s="66"/>
      <c r="F24" s="66"/>
      <c r="G24" s="66"/>
      <c r="H24" s="66"/>
      <c r="I24" s="66"/>
      <c r="J24" s="66"/>
      <c r="K24" s="10"/>
    </row>
    <row r="25" spans="1:11" ht="15.75" customHeight="1" x14ac:dyDescent="0.3">
      <c r="A25" s="66"/>
      <c r="B25" s="66"/>
      <c r="C25" s="66"/>
      <c r="D25" s="66"/>
      <c r="E25" s="66"/>
      <c r="F25" s="66"/>
      <c r="G25" s="66"/>
      <c r="H25" s="66"/>
      <c r="I25" s="66"/>
      <c r="J25" s="66"/>
      <c r="K25" s="10"/>
    </row>
    <row r="26" spans="1:11" ht="15.75" customHeight="1" x14ac:dyDescent="0.3">
      <c r="A26" s="66"/>
      <c r="B26" s="66"/>
      <c r="C26" s="66"/>
      <c r="D26" s="66"/>
      <c r="E26" s="66"/>
      <c r="F26" s="66"/>
      <c r="G26" s="66"/>
      <c r="H26" s="66"/>
      <c r="I26" s="66"/>
      <c r="J26" s="66"/>
      <c r="K26" s="10"/>
    </row>
    <row r="27" spans="1:11" ht="15.75" customHeight="1" x14ac:dyDescent="0.3">
      <c r="A27" s="66"/>
      <c r="B27" s="66"/>
      <c r="C27" s="66"/>
      <c r="D27" s="66"/>
      <c r="E27" s="66"/>
      <c r="F27" s="66"/>
      <c r="G27" s="66"/>
      <c r="H27" s="66"/>
      <c r="I27" s="66"/>
      <c r="J27" s="66"/>
      <c r="K27" s="10"/>
    </row>
    <row r="28" spans="1:11" ht="15.75" customHeight="1" x14ac:dyDescent="0.3">
      <c r="A28" s="66"/>
      <c r="B28" s="66"/>
      <c r="C28" s="66"/>
      <c r="D28" s="66"/>
      <c r="E28" s="66"/>
      <c r="F28" s="66"/>
      <c r="G28" s="66"/>
      <c r="H28" s="66"/>
      <c r="I28" s="66"/>
      <c r="J28" s="66"/>
      <c r="K28" s="10"/>
    </row>
    <row r="29" spans="1:11" ht="15.75" customHeight="1" x14ac:dyDescent="0.3">
      <c r="A29" s="66"/>
      <c r="B29" s="66"/>
      <c r="C29" s="66"/>
      <c r="D29" s="66"/>
      <c r="E29" s="66"/>
      <c r="F29" s="66"/>
      <c r="G29" s="66"/>
      <c r="H29" s="66"/>
      <c r="I29" s="66"/>
      <c r="J29" s="66"/>
      <c r="K29" s="10"/>
    </row>
    <row r="30" spans="1:11" ht="15.75" customHeight="1" x14ac:dyDescent="0.3">
      <c r="A30" s="66"/>
      <c r="B30" s="66"/>
      <c r="C30" s="66"/>
      <c r="D30" s="66"/>
      <c r="E30" s="66"/>
      <c r="F30" s="66"/>
      <c r="G30" s="66"/>
      <c r="H30" s="66"/>
      <c r="I30" s="66"/>
      <c r="J30" s="66"/>
      <c r="K30" s="10"/>
    </row>
    <row r="31" spans="1:11" ht="15.75" customHeight="1" x14ac:dyDescent="0.3">
      <c r="A31" s="66"/>
      <c r="B31" s="66"/>
      <c r="C31" s="66"/>
      <c r="D31" s="66"/>
      <c r="E31" s="66"/>
      <c r="F31" s="66"/>
      <c r="G31" s="66"/>
      <c r="H31" s="66"/>
      <c r="I31" s="66"/>
      <c r="J31" s="66"/>
      <c r="K31" s="10"/>
    </row>
    <row r="32" spans="1:11" ht="15.75" customHeight="1" x14ac:dyDescent="0.3">
      <c r="A32" s="66"/>
      <c r="B32" s="66"/>
      <c r="C32" s="66"/>
      <c r="D32" s="66"/>
      <c r="E32" s="66"/>
      <c r="F32" s="66"/>
      <c r="G32" s="66"/>
      <c r="H32" s="66"/>
      <c r="I32" s="66"/>
      <c r="J32" s="66"/>
      <c r="K32" s="10"/>
    </row>
    <row r="33" spans="1:6" ht="15.75" customHeight="1" x14ac:dyDescent="0.3">
      <c r="A33" s="66"/>
      <c r="B33" s="66"/>
      <c r="C33" s="66"/>
      <c r="D33" s="66"/>
      <c r="E33" s="66"/>
      <c r="F33" s="66"/>
    </row>
    <row r="34" spans="1:6" ht="15.6" x14ac:dyDescent="0.3">
      <c r="A34" s="66"/>
      <c r="B34" s="66"/>
      <c r="C34" s="66"/>
      <c r="D34" s="66"/>
      <c r="E34" s="66"/>
      <c r="F34" s="66"/>
    </row>
    <row r="35" spans="1:6" ht="15.6" x14ac:dyDescent="0.3">
      <c r="A35" s="66"/>
      <c r="B35" s="66"/>
      <c r="C35" s="66"/>
      <c r="D35" s="66"/>
      <c r="E35" s="66"/>
      <c r="F35" s="66"/>
    </row>
    <row r="36" spans="1:6" ht="15.6" x14ac:dyDescent="0.3">
      <c r="A36" s="66"/>
      <c r="B36" s="66"/>
      <c r="C36" s="66"/>
      <c r="D36" s="66"/>
      <c r="E36" s="66"/>
      <c r="F36" s="66"/>
    </row>
    <row r="37" spans="1:6" x14ac:dyDescent="0.3">
      <c r="C37"/>
      <c r="D37"/>
      <c r="E37"/>
    </row>
    <row r="38" spans="1:6" x14ac:dyDescent="0.3">
      <c r="C38"/>
      <c r="D38"/>
      <c r="E38"/>
    </row>
    <row r="39" spans="1:6" x14ac:dyDescent="0.3">
      <c r="C39"/>
      <c r="D39"/>
      <c r="E39"/>
    </row>
    <row r="40" spans="1:6" x14ac:dyDescent="0.3">
      <c r="C40"/>
      <c r="D40"/>
      <c r="E40"/>
    </row>
    <row r="41" spans="1:6" x14ac:dyDescent="0.3">
      <c r="C41"/>
      <c r="D41"/>
      <c r="E41"/>
    </row>
    <row r="42" spans="1:6" x14ac:dyDescent="0.3">
      <c r="C42"/>
      <c r="D42"/>
      <c r="E42"/>
    </row>
    <row r="43" spans="1:6" x14ac:dyDescent="0.3">
      <c r="C43"/>
      <c r="D43"/>
      <c r="E43"/>
    </row>
    <row r="44" spans="1:6" x14ac:dyDescent="0.3">
      <c r="C44"/>
      <c r="D44"/>
      <c r="E44"/>
    </row>
    <row r="45" spans="1:6" x14ac:dyDescent="0.3">
      <c r="C45"/>
      <c r="D45"/>
      <c r="E45"/>
    </row>
    <row r="46" spans="1:6" x14ac:dyDescent="0.3">
      <c r="C46"/>
      <c r="D46"/>
      <c r="E46"/>
    </row>
    <row r="47" spans="1:6" x14ac:dyDescent="0.3">
      <c r="C47"/>
      <c r="D47"/>
      <c r="E47"/>
    </row>
    <row r="48" spans="1:6" x14ac:dyDescent="0.3">
      <c r="C48"/>
      <c r="D48"/>
      <c r="E48"/>
    </row>
    <row r="49" spans="3:5" x14ac:dyDescent="0.3">
      <c r="C49"/>
      <c r="D49"/>
      <c r="E49"/>
    </row>
    <row r="50" spans="3:5" x14ac:dyDescent="0.3">
      <c r="C50"/>
      <c r="D50"/>
      <c r="E50"/>
    </row>
    <row r="51" spans="3:5" x14ac:dyDescent="0.3">
      <c r="C51"/>
      <c r="D51"/>
      <c r="E51"/>
    </row>
    <row r="52" spans="3:5" x14ac:dyDescent="0.3">
      <c r="C52"/>
      <c r="D52"/>
      <c r="E52"/>
    </row>
    <row r="53" spans="3:5" x14ac:dyDescent="0.3">
      <c r="C53"/>
      <c r="D53"/>
      <c r="E53"/>
    </row>
    <row r="54" spans="3:5" x14ac:dyDescent="0.3">
      <c r="C54"/>
      <c r="D54"/>
      <c r="E54"/>
    </row>
    <row r="55" spans="3:5" x14ac:dyDescent="0.3">
      <c r="C55"/>
      <c r="D55"/>
      <c r="E55"/>
    </row>
    <row r="56" spans="3:5" x14ac:dyDescent="0.3">
      <c r="C56"/>
      <c r="D56"/>
      <c r="E56"/>
    </row>
    <row r="57" spans="3:5" x14ac:dyDescent="0.3">
      <c r="C57"/>
      <c r="D57"/>
      <c r="E57"/>
    </row>
    <row r="58" spans="3:5" x14ac:dyDescent="0.3">
      <c r="C58"/>
      <c r="D58"/>
      <c r="E58"/>
    </row>
    <row r="59" spans="3:5" x14ac:dyDescent="0.3">
      <c r="C59"/>
      <c r="D59"/>
      <c r="E59"/>
    </row>
    <row r="60" spans="3:5" x14ac:dyDescent="0.3">
      <c r="C60"/>
      <c r="D60"/>
      <c r="E60"/>
    </row>
    <row r="61" spans="3:5" x14ac:dyDescent="0.3">
      <c r="C61"/>
      <c r="D61"/>
      <c r="E61"/>
    </row>
    <row r="62" spans="3:5" x14ac:dyDescent="0.3">
      <c r="C62"/>
      <c r="D62"/>
      <c r="E62"/>
    </row>
  </sheetData>
  <mergeCells count="12">
    <mergeCell ref="B13:F13"/>
    <mergeCell ref="A1:M1"/>
    <mergeCell ref="B10:F10"/>
    <mergeCell ref="B9:F9"/>
    <mergeCell ref="B8:F8"/>
    <mergeCell ref="B7:F7"/>
    <mergeCell ref="B6:F6"/>
    <mergeCell ref="B5:F5"/>
    <mergeCell ref="B4:F4"/>
    <mergeCell ref="A3:F3"/>
    <mergeCell ref="G13:K13"/>
    <mergeCell ref="A12:K12"/>
  </mergeCells>
  <pageMargins left="0.25" right="0.25" top="1.03125" bottom="0.75" header="0.3" footer="0.3"/>
  <pageSetup orientation="landscape" r:id="rId1"/>
  <headerFooter>
    <oddHeader>&amp;L&amp;G</oddHeader>
    <oddFooter>&amp;CAssessment information, page &amp;P of &amp;N</oddFooter>
  </headerFooter>
  <legacyDrawingHF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5"/>
  <sheetViews>
    <sheetView view="pageLayout" zoomScale="130" zoomScaleNormal="100" zoomScalePageLayoutView="130" workbookViewId="0">
      <selection activeCell="H2" sqref="H2"/>
    </sheetView>
  </sheetViews>
  <sheetFormatPr defaultColWidth="9.109375" defaultRowHeight="14.4" x14ac:dyDescent="0.3"/>
  <cols>
    <col min="1" max="1" width="9.5546875" customWidth="1"/>
    <col min="2" max="2" width="8.88671875" customWidth="1"/>
    <col min="3" max="3" width="25.5546875" style="1" customWidth="1"/>
    <col min="4" max="5" width="7.5546875" style="1" customWidth="1"/>
    <col min="6" max="6" width="7.5546875" customWidth="1"/>
    <col min="7" max="7" width="9.5546875" customWidth="1"/>
    <col min="8" max="8" width="17.88671875" style="62" customWidth="1"/>
    <col min="9" max="9" width="8.88671875" customWidth="1"/>
    <col min="10" max="11" width="15.33203125" customWidth="1"/>
    <col min="12" max="12" width="22.5546875" bestFit="1" customWidth="1"/>
    <col min="13" max="13" width="12.44140625" customWidth="1"/>
    <col min="14" max="14" width="9.88671875" customWidth="1"/>
    <col min="15" max="15" width="11.109375" customWidth="1"/>
    <col min="16" max="21" width="8.88671875" customWidth="1"/>
  </cols>
  <sheetData>
    <row r="1" spans="1:16" ht="18.600000000000001" thickBot="1" x14ac:dyDescent="0.35">
      <c r="A1" s="136" t="s">
        <v>173</v>
      </c>
      <c r="B1" s="136"/>
      <c r="C1" s="136"/>
      <c r="D1" s="136"/>
      <c r="E1" s="136"/>
      <c r="F1" s="136"/>
      <c r="G1" s="136"/>
      <c r="H1" s="136"/>
      <c r="I1" s="136"/>
      <c r="J1" s="136"/>
      <c r="K1" s="136"/>
    </row>
    <row r="2" spans="1:16" ht="16.2" thickBot="1" x14ac:dyDescent="0.35">
      <c r="A2" s="274" t="s">
        <v>107</v>
      </c>
      <c r="B2" s="275"/>
      <c r="C2" s="276"/>
      <c r="D2" s="24">
        <v>365</v>
      </c>
      <c r="E2" s="64"/>
      <c r="H2"/>
    </row>
    <row r="3" spans="1:16" x14ac:dyDescent="0.3">
      <c r="A3" s="277" t="s">
        <v>121</v>
      </c>
      <c r="B3" s="277"/>
      <c r="C3" s="277"/>
      <c r="D3" s="277"/>
      <c r="E3" s="277"/>
      <c r="F3" s="277"/>
      <c r="G3" s="277"/>
      <c r="H3" s="277"/>
      <c r="I3" s="277"/>
      <c r="J3" s="277"/>
      <c r="K3" s="277"/>
    </row>
    <row r="4" spans="1:16" ht="15" thickBot="1" x14ac:dyDescent="0.35">
      <c r="A4" s="278" t="s">
        <v>123</v>
      </c>
      <c r="B4" s="278"/>
      <c r="C4" s="278"/>
      <c r="D4" s="278"/>
      <c r="E4" s="278"/>
      <c r="F4" s="278"/>
      <c r="G4" s="278"/>
      <c r="H4" s="278"/>
      <c r="I4" s="278"/>
      <c r="J4" s="278"/>
      <c r="K4" s="278"/>
    </row>
    <row r="5" spans="1:16" ht="24.6" thickBot="1" x14ac:dyDescent="0.35">
      <c r="A5" s="288" t="s">
        <v>170</v>
      </c>
      <c r="B5" s="289" t="s">
        <v>171</v>
      </c>
      <c r="C5" s="289" t="s">
        <v>36</v>
      </c>
      <c r="D5" s="289" t="s">
        <v>92</v>
      </c>
      <c r="E5" s="289" t="s">
        <v>93</v>
      </c>
      <c r="F5" s="289" t="s">
        <v>126</v>
      </c>
      <c r="G5" s="289" t="s">
        <v>37</v>
      </c>
      <c r="H5" s="290" t="s">
        <v>81</v>
      </c>
      <c r="I5" s="289" t="s">
        <v>38</v>
      </c>
      <c r="J5" s="291" t="s">
        <v>61</v>
      </c>
      <c r="K5" s="292" t="s">
        <v>122</v>
      </c>
    </row>
    <row r="6" spans="1:16" ht="15.75" customHeight="1" x14ac:dyDescent="0.3">
      <c r="A6" s="127"/>
      <c r="B6" s="112" t="s">
        <v>51</v>
      </c>
      <c r="C6" s="49" t="s">
        <v>67</v>
      </c>
      <c r="D6" s="113">
        <v>1.73</v>
      </c>
      <c r="E6" s="114">
        <v>0.97</v>
      </c>
      <c r="F6" s="115">
        <f>D6*E6</f>
        <v>1.6780999999999999</v>
      </c>
      <c r="G6" s="49" t="s">
        <v>44</v>
      </c>
      <c r="H6" s="116" t="s">
        <v>39</v>
      </c>
      <c r="I6" s="112" t="s">
        <v>53</v>
      </c>
      <c r="J6" s="116" t="s">
        <v>66</v>
      </c>
      <c r="K6" s="117" t="s">
        <v>169</v>
      </c>
    </row>
    <row r="7" spans="1:16" x14ac:dyDescent="0.3">
      <c r="A7" s="128"/>
      <c r="B7" s="118" t="s">
        <v>2</v>
      </c>
      <c r="C7" s="50" t="s">
        <v>68</v>
      </c>
      <c r="D7" s="118">
        <v>0.23</v>
      </c>
      <c r="E7" s="119">
        <v>0.97</v>
      </c>
      <c r="F7" s="120">
        <f>D7*E7</f>
        <v>0.22309999999999999</v>
      </c>
      <c r="G7" s="50" t="s">
        <v>45</v>
      </c>
      <c r="H7" s="59" t="s">
        <v>40</v>
      </c>
      <c r="I7" s="121" t="s">
        <v>54</v>
      </c>
      <c r="J7" s="116" t="s">
        <v>65</v>
      </c>
      <c r="K7" s="117" t="s">
        <v>62</v>
      </c>
    </row>
    <row r="8" spans="1:16" ht="15.75" customHeight="1" x14ac:dyDescent="0.3">
      <c r="A8" s="128"/>
      <c r="B8" s="118" t="s">
        <v>52</v>
      </c>
      <c r="C8" s="50" t="s">
        <v>69</v>
      </c>
      <c r="D8" s="118">
        <v>0.88</v>
      </c>
      <c r="E8" s="119">
        <v>0.74</v>
      </c>
      <c r="F8" s="120">
        <f t="shared" ref="F8:F28" si="0">D8*E8</f>
        <v>0.6512</v>
      </c>
      <c r="G8" s="50" t="s">
        <v>46</v>
      </c>
      <c r="H8" s="59" t="s">
        <v>7</v>
      </c>
      <c r="I8" s="121" t="s">
        <v>55</v>
      </c>
      <c r="J8" s="116" t="s">
        <v>64</v>
      </c>
      <c r="K8" s="117" t="s">
        <v>63</v>
      </c>
    </row>
    <row r="9" spans="1:16" ht="15.75" customHeight="1" x14ac:dyDescent="0.3">
      <c r="A9" s="128"/>
      <c r="B9" s="118" t="s">
        <v>108</v>
      </c>
      <c r="C9" s="50" t="s">
        <v>70</v>
      </c>
      <c r="D9" s="118">
        <v>0.57999999999999996</v>
      </c>
      <c r="E9" s="119">
        <v>0.74</v>
      </c>
      <c r="F9" s="120">
        <f t="shared" si="0"/>
        <v>0.42919999999999997</v>
      </c>
      <c r="G9" s="50" t="s">
        <v>47</v>
      </c>
      <c r="H9" s="59" t="s">
        <v>8</v>
      </c>
      <c r="I9" s="121" t="s">
        <v>56</v>
      </c>
      <c r="J9" s="116" t="s">
        <v>63</v>
      </c>
      <c r="K9" s="117" t="s">
        <v>64</v>
      </c>
    </row>
    <row r="10" spans="1:16" ht="15.75" customHeight="1" x14ac:dyDescent="0.3">
      <c r="A10" s="129"/>
      <c r="B10" s="118" t="s">
        <v>60</v>
      </c>
      <c r="C10" s="50" t="s">
        <v>72</v>
      </c>
      <c r="D10" s="118">
        <v>3.27</v>
      </c>
      <c r="E10" s="119">
        <v>1.17</v>
      </c>
      <c r="F10" s="120">
        <f t="shared" si="0"/>
        <v>3.8258999999999999</v>
      </c>
      <c r="G10" s="50"/>
      <c r="H10" s="59" t="s">
        <v>41</v>
      </c>
      <c r="I10" s="121" t="s">
        <v>57</v>
      </c>
      <c r="J10" s="59" t="s">
        <v>62</v>
      </c>
      <c r="K10" s="117" t="s">
        <v>65</v>
      </c>
      <c r="L10" s="7"/>
      <c r="M10" s="13"/>
      <c r="O10" s="7"/>
      <c r="P10" s="7"/>
    </row>
    <row r="11" spans="1:16" ht="15.75" customHeight="1" x14ac:dyDescent="0.3">
      <c r="A11" s="129"/>
      <c r="B11" s="118" t="s">
        <v>109</v>
      </c>
      <c r="C11" s="50" t="s">
        <v>71</v>
      </c>
      <c r="D11" s="118">
        <v>2.54</v>
      </c>
      <c r="E11" s="119">
        <v>0.65</v>
      </c>
      <c r="F11" s="120">
        <f t="shared" si="0"/>
        <v>1.651</v>
      </c>
      <c r="G11" s="50"/>
      <c r="H11" s="59" t="s">
        <v>9</v>
      </c>
      <c r="I11" s="121" t="s">
        <v>58</v>
      </c>
      <c r="J11" s="59"/>
      <c r="K11" s="117" t="s">
        <v>66</v>
      </c>
    </row>
    <row r="12" spans="1:16" ht="15.75" customHeight="1" x14ac:dyDescent="0.3">
      <c r="A12" s="129"/>
      <c r="B12" s="118" t="s">
        <v>110</v>
      </c>
      <c r="C12" s="50" t="s">
        <v>73</v>
      </c>
      <c r="D12" s="118">
        <v>1.78</v>
      </c>
      <c r="E12" s="119">
        <v>2.2999999999999998</v>
      </c>
      <c r="F12" s="120">
        <f t="shared" si="0"/>
        <v>4.0939999999999994</v>
      </c>
      <c r="G12" s="50"/>
      <c r="H12" s="59" t="s">
        <v>42</v>
      </c>
      <c r="I12" s="121"/>
      <c r="J12" s="59"/>
      <c r="K12" s="117"/>
    </row>
    <row r="13" spans="1:16" ht="15.75" customHeight="1" x14ac:dyDescent="0.3">
      <c r="A13" s="129"/>
      <c r="B13" s="118" t="s">
        <v>1</v>
      </c>
      <c r="C13" s="50" t="s">
        <v>74</v>
      </c>
      <c r="D13" s="118">
        <v>0.55000000000000004</v>
      </c>
      <c r="E13" s="119">
        <v>1.44</v>
      </c>
      <c r="F13" s="120">
        <f t="shared" si="0"/>
        <v>0.79200000000000004</v>
      </c>
      <c r="G13" s="50"/>
      <c r="H13" s="59" t="s">
        <v>43</v>
      </c>
      <c r="I13" s="121"/>
      <c r="J13" s="59"/>
      <c r="K13" s="117"/>
    </row>
    <row r="14" spans="1:16" ht="15.75" customHeight="1" x14ac:dyDescent="0.3">
      <c r="A14" s="129"/>
      <c r="B14" s="118" t="s">
        <v>50</v>
      </c>
      <c r="C14" s="50"/>
      <c r="D14" s="118"/>
      <c r="E14" s="119"/>
      <c r="F14" s="120">
        <f t="shared" si="0"/>
        <v>0</v>
      </c>
      <c r="G14" s="50"/>
      <c r="H14" s="59"/>
      <c r="I14" s="121"/>
      <c r="J14" s="59"/>
      <c r="K14" s="117"/>
    </row>
    <row r="15" spans="1:16" ht="15.75" customHeight="1" x14ac:dyDescent="0.3">
      <c r="A15" s="129"/>
      <c r="B15" s="118" t="s">
        <v>59</v>
      </c>
      <c r="C15" s="50"/>
      <c r="D15" s="118"/>
      <c r="E15" s="119"/>
      <c r="F15" s="120">
        <f t="shared" si="0"/>
        <v>0</v>
      </c>
      <c r="G15" s="50"/>
      <c r="H15" s="59"/>
      <c r="I15" s="121"/>
      <c r="J15" s="59"/>
      <c r="K15" s="117"/>
    </row>
    <row r="16" spans="1:16" ht="15.75" customHeight="1" x14ac:dyDescent="0.3">
      <c r="A16" s="129"/>
      <c r="B16" s="118" t="s">
        <v>111</v>
      </c>
      <c r="C16" s="50"/>
      <c r="D16" s="118"/>
      <c r="E16" s="119"/>
      <c r="F16" s="120">
        <f t="shared" si="0"/>
        <v>0</v>
      </c>
      <c r="G16" s="50"/>
      <c r="H16" s="59"/>
      <c r="I16" s="121"/>
      <c r="J16" s="59"/>
      <c r="K16" s="117"/>
    </row>
    <row r="17" spans="1:11" ht="15.75" customHeight="1" x14ac:dyDescent="0.3">
      <c r="A17" s="129"/>
      <c r="B17" s="118" t="s">
        <v>0</v>
      </c>
      <c r="C17" s="50"/>
      <c r="D17" s="118"/>
      <c r="E17" s="119"/>
      <c r="F17" s="120">
        <f t="shared" si="0"/>
        <v>0</v>
      </c>
      <c r="G17" s="50"/>
      <c r="H17" s="59"/>
      <c r="I17" s="121"/>
      <c r="J17" s="59"/>
      <c r="K17" s="117"/>
    </row>
    <row r="18" spans="1:11" ht="15.75" customHeight="1" x14ac:dyDescent="0.3">
      <c r="A18" s="130"/>
      <c r="B18" s="118" t="s">
        <v>112</v>
      </c>
      <c r="C18" s="50"/>
      <c r="D18" s="118"/>
      <c r="E18" s="119"/>
      <c r="F18" s="120">
        <f t="shared" ref="F18:F23" si="1">D18*E18</f>
        <v>0</v>
      </c>
      <c r="G18" s="50"/>
      <c r="H18" s="59"/>
      <c r="I18" s="121"/>
      <c r="J18" s="59"/>
      <c r="K18" s="117"/>
    </row>
    <row r="19" spans="1:11" ht="15.75" customHeight="1" x14ac:dyDescent="0.3">
      <c r="A19" s="130"/>
      <c r="B19" s="118" t="s">
        <v>113</v>
      </c>
      <c r="C19" s="50"/>
      <c r="D19" s="118"/>
      <c r="E19" s="119"/>
      <c r="F19" s="120">
        <f t="shared" si="1"/>
        <v>0</v>
      </c>
      <c r="G19" s="50"/>
      <c r="H19" s="59"/>
      <c r="I19" s="121"/>
      <c r="J19" s="59"/>
      <c r="K19" s="117"/>
    </row>
    <row r="20" spans="1:11" ht="15.75" customHeight="1" x14ac:dyDescent="0.3">
      <c r="A20" s="130"/>
      <c r="B20" s="118"/>
      <c r="C20" s="50"/>
      <c r="D20" s="118"/>
      <c r="E20" s="119"/>
      <c r="F20" s="120">
        <f t="shared" si="1"/>
        <v>0</v>
      </c>
      <c r="G20" s="50"/>
      <c r="H20" s="59"/>
      <c r="I20" s="121"/>
      <c r="J20" s="59"/>
      <c r="K20" s="117"/>
    </row>
    <row r="21" spans="1:11" ht="15.75" customHeight="1" x14ac:dyDescent="0.3">
      <c r="A21" s="130"/>
      <c r="B21" s="118"/>
      <c r="C21" s="50"/>
      <c r="D21" s="118"/>
      <c r="E21" s="119"/>
      <c r="F21" s="120">
        <f t="shared" si="1"/>
        <v>0</v>
      </c>
      <c r="G21" s="50"/>
      <c r="H21" s="59"/>
      <c r="I21" s="121"/>
      <c r="J21" s="59"/>
      <c r="K21" s="117"/>
    </row>
    <row r="22" spans="1:11" ht="15.75" customHeight="1" x14ac:dyDescent="0.3">
      <c r="A22" s="130"/>
      <c r="B22" s="118"/>
      <c r="C22" s="50"/>
      <c r="D22" s="118"/>
      <c r="E22" s="119"/>
      <c r="F22" s="120">
        <f>D22*E22</f>
        <v>0</v>
      </c>
      <c r="G22" s="50"/>
      <c r="H22" s="59"/>
      <c r="I22" s="121"/>
      <c r="J22" s="59"/>
      <c r="K22" s="122"/>
    </row>
    <row r="23" spans="1:11" ht="15.75" customHeight="1" x14ac:dyDescent="0.3">
      <c r="A23" s="130"/>
      <c r="B23" s="118"/>
      <c r="C23" s="50"/>
      <c r="D23" s="118"/>
      <c r="E23" s="119"/>
      <c r="F23" s="120">
        <f t="shared" si="1"/>
        <v>0</v>
      </c>
      <c r="G23" s="50"/>
      <c r="H23" s="59"/>
      <c r="I23" s="121"/>
      <c r="J23" s="59"/>
      <c r="K23" s="117"/>
    </row>
    <row r="24" spans="1:11" ht="15.75" customHeight="1" x14ac:dyDescent="0.3">
      <c r="A24" s="130"/>
      <c r="B24" s="118"/>
      <c r="C24" s="50"/>
      <c r="D24" s="118"/>
      <c r="E24" s="119"/>
      <c r="F24" s="120">
        <f>D24*E24</f>
        <v>0</v>
      </c>
      <c r="G24" s="50"/>
      <c r="H24" s="59"/>
      <c r="I24" s="121"/>
      <c r="J24" s="59"/>
      <c r="K24" s="117"/>
    </row>
    <row r="25" spans="1:11" ht="15.75" customHeight="1" x14ac:dyDescent="0.3">
      <c r="A25" s="130"/>
      <c r="B25" s="118"/>
      <c r="C25" s="50"/>
      <c r="D25" s="118"/>
      <c r="E25" s="119"/>
      <c r="F25" s="120">
        <f>D25*E25</f>
        <v>0</v>
      </c>
      <c r="G25" s="50"/>
      <c r="H25" s="59"/>
      <c r="I25" s="121"/>
      <c r="J25" s="59"/>
      <c r="K25" s="117"/>
    </row>
    <row r="26" spans="1:11" x14ac:dyDescent="0.3">
      <c r="A26" s="129"/>
      <c r="B26" s="118"/>
      <c r="C26" s="50"/>
      <c r="D26" s="118"/>
      <c r="E26" s="119"/>
      <c r="F26" s="120">
        <f t="shared" si="0"/>
        <v>0</v>
      </c>
      <c r="G26" s="50"/>
      <c r="H26" s="59"/>
      <c r="I26" s="121"/>
      <c r="J26" s="59"/>
      <c r="K26" s="117"/>
    </row>
    <row r="27" spans="1:11" x14ac:dyDescent="0.3">
      <c r="A27" s="129"/>
      <c r="B27" s="118"/>
      <c r="C27" s="50"/>
      <c r="D27" s="118"/>
      <c r="E27" s="119"/>
      <c r="F27" s="120">
        <f t="shared" si="0"/>
        <v>0</v>
      </c>
      <c r="G27" s="50"/>
      <c r="H27" s="59"/>
      <c r="I27" s="121"/>
      <c r="J27" s="59"/>
      <c r="K27" s="117"/>
    </row>
    <row r="28" spans="1:11" ht="15" thickBot="1" x14ac:dyDescent="0.35">
      <c r="A28" s="131"/>
      <c r="B28" s="123"/>
      <c r="C28" s="51"/>
      <c r="D28" s="123"/>
      <c r="E28" s="124"/>
      <c r="F28" s="125">
        <f t="shared" si="0"/>
        <v>0</v>
      </c>
      <c r="G28" s="51"/>
      <c r="H28" s="60"/>
      <c r="I28" s="126"/>
      <c r="J28" s="60"/>
      <c r="K28" s="117"/>
    </row>
    <row r="29" spans="1:11" ht="15" thickBot="1" x14ac:dyDescent="0.35">
      <c r="A29" s="63" t="s">
        <v>102</v>
      </c>
      <c r="B29" s="52"/>
      <c r="C29" s="53"/>
      <c r="D29" s="54">
        <f>SUBTOTAL(109,Input[Weight (lbs.)])</f>
        <v>11.56</v>
      </c>
      <c r="E29" s="52"/>
      <c r="F29" s="55">
        <f>SUBTOTAL(109,Input[Cost / value])</f>
        <v>13.344499999999998</v>
      </c>
      <c r="G29" s="56"/>
      <c r="H29" s="61"/>
      <c r="I29" s="53"/>
      <c r="J29" s="57"/>
      <c r="K29" s="58"/>
    </row>
    <row r="30" spans="1:11" x14ac:dyDescent="0.3">
      <c r="C30"/>
      <c r="D30"/>
      <c r="E30"/>
    </row>
    <row r="31" spans="1:11" x14ac:dyDescent="0.3">
      <c r="C31"/>
      <c r="D31"/>
      <c r="E31"/>
    </row>
    <row r="32" spans="1:11" x14ac:dyDescent="0.3">
      <c r="C32"/>
      <c r="D32"/>
      <c r="E32"/>
    </row>
    <row r="33" spans="3:5" x14ac:dyDescent="0.3">
      <c r="C33"/>
      <c r="D33"/>
      <c r="E33"/>
    </row>
    <row r="34" spans="3:5" x14ac:dyDescent="0.3">
      <c r="C34"/>
      <c r="D34"/>
      <c r="E34"/>
    </row>
    <row r="35" spans="3:5" x14ac:dyDescent="0.3">
      <c r="C35"/>
      <c r="D35"/>
      <c r="E35"/>
    </row>
    <row r="36" spans="3:5" x14ac:dyDescent="0.3">
      <c r="C36"/>
      <c r="D36"/>
      <c r="E36"/>
    </row>
    <row r="37" spans="3:5" x14ac:dyDescent="0.3">
      <c r="C37"/>
      <c r="D37"/>
      <c r="E37"/>
    </row>
    <row r="38" spans="3:5" x14ac:dyDescent="0.3">
      <c r="C38"/>
      <c r="D38"/>
      <c r="E38"/>
    </row>
    <row r="39" spans="3:5" x14ac:dyDescent="0.3">
      <c r="C39"/>
      <c r="D39"/>
      <c r="E39"/>
    </row>
    <row r="40" spans="3:5" x14ac:dyDescent="0.3">
      <c r="C40"/>
      <c r="D40"/>
      <c r="E40"/>
    </row>
    <row r="41" spans="3:5" x14ac:dyDescent="0.3">
      <c r="C41"/>
      <c r="D41"/>
      <c r="E41"/>
    </row>
    <row r="42" spans="3:5" x14ac:dyDescent="0.3">
      <c r="C42"/>
      <c r="D42"/>
      <c r="E42"/>
    </row>
    <row r="43" spans="3:5" x14ac:dyDescent="0.3">
      <c r="C43"/>
      <c r="D43"/>
      <c r="E43"/>
    </row>
    <row r="44" spans="3:5" x14ac:dyDescent="0.3">
      <c r="C44"/>
      <c r="D44"/>
      <c r="E44"/>
    </row>
    <row r="45" spans="3:5" x14ac:dyDescent="0.3">
      <c r="C45"/>
      <c r="D45"/>
      <c r="E45"/>
    </row>
    <row r="46" spans="3:5" x14ac:dyDescent="0.3">
      <c r="C46"/>
      <c r="D46"/>
      <c r="E46"/>
    </row>
    <row r="47" spans="3:5" x14ac:dyDescent="0.3">
      <c r="C47"/>
      <c r="D47"/>
      <c r="E47"/>
    </row>
    <row r="48" spans="3:5" x14ac:dyDescent="0.3">
      <c r="C48"/>
      <c r="D48"/>
      <c r="E48"/>
    </row>
    <row r="49" spans="3:5" x14ac:dyDescent="0.3">
      <c r="C49"/>
      <c r="D49"/>
      <c r="E49"/>
    </row>
    <row r="50" spans="3:5" x14ac:dyDescent="0.3">
      <c r="C50"/>
      <c r="D50"/>
      <c r="E50"/>
    </row>
    <row r="51" spans="3:5" x14ac:dyDescent="0.3">
      <c r="C51"/>
      <c r="D51"/>
      <c r="E51"/>
    </row>
    <row r="52" spans="3:5" x14ac:dyDescent="0.3">
      <c r="C52"/>
      <c r="D52"/>
      <c r="E52"/>
    </row>
    <row r="53" spans="3:5" x14ac:dyDescent="0.3">
      <c r="C53"/>
      <c r="D53"/>
      <c r="E53"/>
    </row>
    <row r="54" spans="3:5" x14ac:dyDescent="0.3">
      <c r="C54"/>
      <c r="D54"/>
      <c r="E54"/>
    </row>
    <row r="55" spans="3:5" x14ac:dyDescent="0.3">
      <c r="C55"/>
      <c r="D55"/>
      <c r="E55"/>
    </row>
  </sheetData>
  <mergeCells count="4">
    <mergeCell ref="A4:K4"/>
    <mergeCell ref="A2:C2"/>
    <mergeCell ref="A3:K3"/>
    <mergeCell ref="A1:K1"/>
  </mergeCells>
  <pageMargins left="0.25" right="0.25" top="1.03125" bottom="0.75" header="0.3" footer="0.3"/>
  <pageSetup orientation="landscape" r:id="rId1"/>
  <headerFooter>
    <oddHeader>&amp;L&amp;G</oddHeader>
    <oddFooter>&amp;CInput, page &amp;P of &amp;N</oddFooter>
  </headerFooter>
  <legacyDrawingHF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Subtotals!$A$4:$A$17</xm:f>
          </x14:formula1>
          <xm:sqref>B6:B28</xm:sqref>
        </x14:dataValidation>
        <x14:dataValidation type="list" allowBlank="1" showInputMessage="1" showErrorMessage="1" xr:uid="{00000000-0002-0000-0100-000001000000}">
          <x14:formula1>
            <xm:f>Definitions!$A$19:$A$22</xm:f>
          </x14:formula1>
          <xm:sqref>G6:G28</xm:sqref>
        </x14:dataValidation>
        <x14:dataValidation type="list" allowBlank="1" showInputMessage="1" showErrorMessage="1" xr:uid="{00000000-0002-0000-0100-000002000000}">
          <x14:formula1>
            <xm:f>Subtotals!$A$35:$A$42</xm:f>
          </x14:formula1>
          <xm:sqref>H6:H28</xm:sqref>
        </x14:dataValidation>
        <x14:dataValidation type="list" allowBlank="1" showInputMessage="1" showErrorMessage="1" xr:uid="{00000000-0002-0000-0100-000003000000}">
          <x14:formula1>
            <xm:f>Subtotals!$A$101:$A$105</xm:f>
          </x14:formula1>
          <xm:sqref>J6:J28</xm:sqref>
        </x14:dataValidation>
        <x14:dataValidation type="list" allowBlank="1" showInputMessage="1" showErrorMessage="1" xr:uid="{00000000-0002-0000-0100-000004000000}">
          <x14:formula1>
            <xm:f>Subtotals!$A$68:$A$73</xm:f>
          </x14:formula1>
          <xm:sqref>I6:I28</xm:sqref>
        </x14:dataValidation>
        <x14:dataValidation type="list" allowBlank="1" showInputMessage="1" showErrorMessage="1" xr:uid="{00000000-0002-0000-0100-000005000000}">
          <x14:formula1>
            <xm:f>Subtotals!$A$134:$A$139</xm:f>
          </x14:formula1>
          <xm:sqref>K6:K28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9"/>
  <sheetViews>
    <sheetView view="pageLayout" zoomScale="130" zoomScaleNormal="100" zoomScalePageLayoutView="130" workbookViewId="0">
      <selection activeCell="D2" sqref="D2"/>
    </sheetView>
  </sheetViews>
  <sheetFormatPr defaultColWidth="9.109375" defaultRowHeight="14.4" x14ac:dyDescent="0.3"/>
  <cols>
    <col min="1" max="1" width="22.5546875" bestFit="1" customWidth="1"/>
    <col min="2" max="2" width="16.5546875" style="1" bestFit="1" customWidth="1"/>
    <col min="3" max="3" width="11.44140625" style="1" bestFit="1" customWidth="1"/>
    <col min="4" max="4" width="9.5546875" style="1" customWidth="1"/>
    <col min="5" max="5" width="9.5546875" customWidth="1"/>
    <col min="6" max="6" width="16.5546875" customWidth="1"/>
    <col min="7" max="7" width="9.44140625" bestFit="1" customWidth="1"/>
    <col min="8" max="10" width="9.5546875" customWidth="1"/>
    <col min="11" max="11" width="8.109375" customWidth="1"/>
    <col min="12" max="17" width="9.5546875" customWidth="1"/>
    <col min="18" max="20" width="8.88671875" customWidth="1"/>
  </cols>
  <sheetData>
    <row r="1" spans="1:11" ht="18" x14ac:dyDescent="0.35">
      <c r="A1" s="146" t="s">
        <v>174</v>
      </c>
      <c r="B1" s="146"/>
      <c r="C1" s="146"/>
      <c r="D1" s="146"/>
      <c r="E1" s="146"/>
      <c r="F1" s="146"/>
      <c r="G1" s="146"/>
      <c r="H1" s="146"/>
      <c r="I1" s="146"/>
      <c r="J1" s="146"/>
      <c r="K1" s="146"/>
    </row>
    <row r="3" spans="1:11" x14ac:dyDescent="0.3">
      <c r="A3" s="283" t="s">
        <v>171</v>
      </c>
      <c r="B3" s="286" t="s">
        <v>92</v>
      </c>
      <c r="C3" s="287" t="s">
        <v>75</v>
      </c>
      <c r="D3"/>
    </row>
    <row r="4" spans="1:11" x14ac:dyDescent="0.3">
      <c r="A4" s="12" t="s">
        <v>51</v>
      </c>
      <c r="B4" s="16">
        <f>SUMIFS(Input[Weight (lbs.)],Input[Dept. / section],A4)</f>
        <v>1.73</v>
      </c>
      <c r="C4" s="17">
        <f>SUMIFS(Input[Cost / value],Input[Dept. / section],A4)</f>
        <v>1.6780999999999999</v>
      </c>
      <c r="D4"/>
    </row>
    <row r="5" spans="1:11" ht="15" customHeight="1" x14ac:dyDescent="0.3">
      <c r="A5" s="12" t="s">
        <v>2</v>
      </c>
      <c r="B5" s="16">
        <f>SUMIFS(Input[Weight (lbs.)],Input[Dept. / section],A5)</f>
        <v>0.23</v>
      </c>
      <c r="C5" s="18">
        <f>SUMIFS(Input[Cost / value],Input[Dept. / section],A5)</f>
        <v>0.22309999999999999</v>
      </c>
      <c r="D5"/>
    </row>
    <row r="6" spans="1:11" ht="15.75" customHeight="1" x14ac:dyDescent="0.3">
      <c r="A6" s="14" t="s">
        <v>52</v>
      </c>
      <c r="B6" s="16">
        <f>SUMIFS(Input[Weight (lbs.)],Input[Dept. / section],A6)</f>
        <v>0.88</v>
      </c>
      <c r="C6" s="18">
        <f>SUMIFS(Input[Cost / value],Input[Dept. / section],A6)</f>
        <v>0.6512</v>
      </c>
      <c r="D6"/>
    </row>
    <row r="7" spans="1:11" x14ac:dyDescent="0.3">
      <c r="A7" s="12" t="s">
        <v>108</v>
      </c>
      <c r="B7" s="16">
        <f>SUMIFS(Input[Weight (lbs.)],Input[Dept. / section],A7)</f>
        <v>0.57999999999999996</v>
      </c>
      <c r="C7" s="18">
        <f>SUMIFS(Input[Cost / value],Input[Dept. / section],A7)</f>
        <v>0.42919999999999997</v>
      </c>
      <c r="D7" s="7"/>
    </row>
    <row r="8" spans="1:11" x14ac:dyDescent="0.3">
      <c r="A8" s="12" t="s">
        <v>60</v>
      </c>
      <c r="B8" s="16">
        <f>SUMIFS(Input[Weight (lbs.)],Input[Dept. / section],A8)</f>
        <v>3.27</v>
      </c>
      <c r="C8" s="18">
        <f>SUMIFS(Input[Cost / value],Input[Dept. / section],A8)</f>
        <v>3.8258999999999999</v>
      </c>
      <c r="D8"/>
    </row>
    <row r="9" spans="1:11" x14ac:dyDescent="0.3">
      <c r="A9" s="12" t="s">
        <v>109</v>
      </c>
      <c r="B9" s="16">
        <f>SUMIFS(Input[Weight (lbs.)],Input[Dept. / section],A9)</f>
        <v>2.54</v>
      </c>
      <c r="C9" s="18">
        <f>SUMIFS(Input[Cost / value],Input[Dept. / section],A9)</f>
        <v>1.651</v>
      </c>
      <c r="D9"/>
    </row>
    <row r="10" spans="1:11" x14ac:dyDescent="0.3">
      <c r="A10" s="12" t="s">
        <v>110</v>
      </c>
      <c r="B10" s="16">
        <f>SUMIFS(Input[Weight (lbs.)],Input[Dept. / section],A10)</f>
        <v>1.78</v>
      </c>
      <c r="C10" s="18">
        <f>SUMIFS(Input[Cost / value],Input[Dept. / section],A10)</f>
        <v>4.0939999999999994</v>
      </c>
      <c r="D10"/>
    </row>
    <row r="11" spans="1:11" x14ac:dyDescent="0.3">
      <c r="A11" s="15" t="s">
        <v>1</v>
      </c>
      <c r="B11" s="19">
        <f>SUMIFS(Input[Weight (lbs.)],Input[Dept. / section],A11)</f>
        <v>0.55000000000000004</v>
      </c>
      <c r="C11" s="20">
        <f>SUMIFS(Input[Cost / value],Input[Dept. / section],A11)</f>
        <v>0.79200000000000004</v>
      </c>
      <c r="D11"/>
    </row>
    <row r="12" spans="1:11" x14ac:dyDescent="0.3">
      <c r="A12" s="31" t="s">
        <v>50</v>
      </c>
      <c r="B12" s="32">
        <f>SUMIFS(Input[Weight (lbs.)],Input[Dept. / section],A12)</f>
        <v>0</v>
      </c>
      <c r="C12" s="25">
        <f>SUMIFS(Input[Cost / value],Input[Dept. / section],A12)</f>
        <v>0</v>
      </c>
      <c r="D12"/>
    </row>
    <row r="13" spans="1:11" x14ac:dyDescent="0.3">
      <c r="A13" s="31" t="s">
        <v>59</v>
      </c>
      <c r="B13" s="26">
        <f>SUMIFS(Input[Weight (lbs.)],Input[Dept. / section],A13)</f>
        <v>0</v>
      </c>
      <c r="C13" s="27">
        <f>SUMIFS(Input[Cost / value],Input[Dept. / section],A13)</f>
        <v>0</v>
      </c>
      <c r="D13"/>
    </row>
    <row r="14" spans="1:11" x14ac:dyDescent="0.3">
      <c r="A14" s="31" t="s">
        <v>111</v>
      </c>
      <c r="B14" s="42">
        <f>SUMIFS(Input[Weight (lbs.)],Input[Dept. / section],A14)</f>
        <v>0</v>
      </c>
      <c r="C14" s="43">
        <f>SUMIFS(Input[Cost / value],Input[Dept. / section],A14)</f>
        <v>0</v>
      </c>
      <c r="D14"/>
    </row>
    <row r="15" spans="1:11" x14ac:dyDescent="0.3">
      <c r="A15" s="31" t="s">
        <v>0</v>
      </c>
      <c r="B15" s="42">
        <f>SUMIFS(Input[Weight (lbs.)],Input[Dept. / section],A15)</f>
        <v>0</v>
      </c>
      <c r="C15" s="43">
        <f>SUMIFS(Input[Cost / value],Input[Dept. / section],A15)</f>
        <v>0</v>
      </c>
      <c r="D15"/>
    </row>
    <row r="16" spans="1:11" x14ac:dyDescent="0.3">
      <c r="A16" s="31" t="s">
        <v>112</v>
      </c>
      <c r="B16" s="42">
        <f>SUMIFS(Input[Weight (lbs.)],Input[Dept. / section],A16)</f>
        <v>0</v>
      </c>
      <c r="C16" s="43">
        <f>SUMIFS(Input[Cost / value],Input[Dept. / section],A16)</f>
        <v>0</v>
      </c>
      <c r="D16"/>
    </row>
    <row r="17" spans="1:4" x14ac:dyDescent="0.3">
      <c r="A17" s="31" t="s">
        <v>113</v>
      </c>
      <c r="B17" s="42">
        <f>SUMIFS(Input[Weight (lbs.)],Input[Dept. / section],A17)</f>
        <v>0</v>
      </c>
      <c r="C17" s="43">
        <f>SUMIFS(Input[Cost / value],Input[Dept. / section],A17)</f>
        <v>0</v>
      </c>
      <c r="D17"/>
    </row>
    <row r="18" spans="1:4" x14ac:dyDescent="0.3">
      <c r="D18"/>
    </row>
    <row r="19" spans="1:4" x14ac:dyDescent="0.3">
      <c r="D19"/>
    </row>
    <row r="20" spans="1:4" x14ac:dyDescent="0.3">
      <c r="D20"/>
    </row>
    <row r="21" spans="1:4" x14ac:dyDescent="0.3">
      <c r="D21"/>
    </row>
    <row r="22" spans="1:4" x14ac:dyDescent="0.3">
      <c r="D22"/>
    </row>
    <row r="23" spans="1:4" x14ac:dyDescent="0.3">
      <c r="A23" s="2"/>
      <c r="B23" s="22"/>
      <c r="C23" s="23"/>
      <c r="D23"/>
    </row>
    <row r="24" spans="1:4" x14ac:dyDescent="0.3">
      <c r="A24" s="2"/>
      <c r="B24" s="22"/>
      <c r="C24" s="23"/>
      <c r="D24"/>
    </row>
    <row r="25" spans="1:4" x14ac:dyDescent="0.3">
      <c r="A25" s="2"/>
      <c r="B25" s="22"/>
      <c r="C25" s="23"/>
      <c r="D25"/>
    </row>
    <row r="26" spans="1:4" x14ac:dyDescent="0.3">
      <c r="A26" s="2"/>
      <c r="B26" s="22"/>
      <c r="C26" s="23"/>
      <c r="D26"/>
    </row>
    <row r="27" spans="1:4" x14ac:dyDescent="0.3">
      <c r="A27" s="2"/>
      <c r="B27" s="22"/>
      <c r="C27" s="23"/>
      <c r="D27"/>
    </row>
    <row r="28" spans="1:4" x14ac:dyDescent="0.3">
      <c r="B28"/>
      <c r="C28"/>
      <c r="D28"/>
    </row>
    <row r="29" spans="1:4" x14ac:dyDescent="0.3">
      <c r="B29"/>
      <c r="C29"/>
      <c r="D29"/>
    </row>
    <row r="30" spans="1:4" x14ac:dyDescent="0.3">
      <c r="D30"/>
    </row>
    <row r="31" spans="1:4" x14ac:dyDescent="0.3">
      <c r="D31"/>
    </row>
    <row r="32" spans="1:4" x14ac:dyDescent="0.3">
      <c r="D32"/>
    </row>
    <row r="33" spans="1:4" x14ac:dyDescent="0.3">
      <c r="D33"/>
    </row>
    <row r="34" spans="1:4" x14ac:dyDescent="0.3">
      <c r="A34" s="283" t="s">
        <v>81</v>
      </c>
      <c r="B34" s="286" t="s">
        <v>92</v>
      </c>
      <c r="C34" s="287" t="s">
        <v>75</v>
      </c>
      <c r="D34"/>
    </row>
    <row r="35" spans="1:4" x14ac:dyDescent="0.3">
      <c r="A35" s="12" t="s">
        <v>39</v>
      </c>
      <c r="B35" s="16">
        <f>SUMIFS(Input[Weight (lbs.)],Input[WARM category],A35)</f>
        <v>1.73</v>
      </c>
      <c r="C35" s="17">
        <f>SUMIFS(Input[Cost / value],Input[WARM category],A35)</f>
        <v>1.6780999999999999</v>
      </c>
      <c r="D35"/>
    </row>
    <row r="36" spans="1:4" x14ac:dyDescent="0.3">
      <c r="A36" s="12" t="s">
        <v>40</v>
      </c>
      <c r="B36" s="16">
        <f>SUMIFS(Input[Weight (lbs.)],Input[WARM category],A36)</f>
        <v>0.23</v>
      </c>
      <c r="C36" s="18">
        <f>SUMIFS(Input[Cost / value],Input[WARM category],A36)</f>
        <v>0.22309999999999999</v>
      </c>
      <c r="D36"/>
    </row>
    <row r="37" spans="1:4" x14ac:dyDescent="0.3">
      <c r="A37" s="14" t="s">
        <v>7</v>
      </c>
      <c r="B37" s="16">
        <f>SUMIFS(Input[Weight (lbs.)],Input[WARM category],A37)</f>
        <v>0.88</v>
      </c>
      <c r="C37" s="18">
        <f>SUMIFS(Input[Cost / value],Input[WARM category],A37)</f>
        <v>0.6512</v>
      </c>
      <c r="D37"/>
    </row>
    <row r="38" spans="1:4" x14ac:dyDescent="0.3">
      <c r="A38" s="12" t="s">
        <v>8</v>
      </c>
      <c r="B38" s="16">
        <f>SUMIFS(Input[Weight (lbs.)],Input[WARM category],A38)</f>
        <v>0.57999999999999996</v>
      </c>
      <c r="C38" s="18">
        <f>SUMIFS(Input[Cost / value],Input[WARM category],A38)</f>
        <v>0.42919999999999997</v>
      </c>
      <c r="D38"/>
    </row>
    <row r="39" spans="1:4" x14ac:dyDescent="0.3">
      <c r="A39" s="12" t="s">
        <v>41</v>
      </c>
      <c r="B39" s="16">
        <f>SUMIFS(Input[Weight (lbs.)],Input[WARM category],A39)</f>
        <v>3.27</v>
      </c>
      <c r="C39" s="18">
        <f>SUMIFS(Input[Cost / value],Input[WARM category],A39)</f>
        <v>3.8258999999999999</v>
      </c>
      <c r="D39"/>
    </row>
    <row r="40" spans="1:4" x14ac:dyDescent="0.3">
      <c r="A40" s="12" t="s">
        <v>9</v>
      </c>
      <c r="B40" s="16">
        <f>SUMIFS(Input[Weight (lbs.)],Input[WARM category],A40)</f>
        <v>2.54</v>
      </c>
      <c r="C40" s="18">
        <f>SUMIFS(Input[Cost / value],Input[WARM category],A40)</f>
        <v>1.651</v>
      </c>
      <c r="D40"/>
    </row>
    <row r="41" spans="1:4" x14ac:dyDescent="0.3">
      <c r="A41" s="12" t="s">
        <v>42</v>
      </c>
      <c r="B41" s="16">
        <f>SUMIFS(Input[Weight (lbs.)],Input[WARM category],A41)</f>
        <v>1.78</v>
      </c>
      <c r="C41" s="18">
        <f>SUMIFS(Input[Cost / value],Input[WARM category],A41)</f>
        <v>4.0939999999999994</v>
      </c>
      <c r="D41"/>
    </row>
    <row r="42" spans="1:4" x14ac:dyDescent="0.3">
      <c r="A42" s="15" t="s">
        <v>43</v>
      </c>
      <c r="B42" s="19">
        <f>SUMIFS(Input[Weight (lbs.)],Input[WARM category],A42)</f>
        <v>0.55000000000000004</v>
      </c>
      <c r="C42" s="20">
        <f>SUMIFS(Input[Cost / value],Input[WARM category],A42)</f>
        <v>0.79200000000000004</v>
      </c>
      <c r="D42"/>
    </row>
    <row r="43" spans="1:4" ht="15" thickBot="1" x14ac:dyDescent="0.35">
      <c r="B43"/>
      <c r="C43"/>
      <c r="D43"/>
    </row>
    <row r="44" spans="1:4" x14ac:dyDescent="0.3">
      <c r="A44" s="140" t="s">
        <v>128</v>
      </c>
      <c r="B44" s="141"/>
      <c r="C44" s="142"/>
      <c r="D44"/>
    </row>
    <row r="45" spans="1:4" x14ac:dyDescent="0.3">
      <c r="A45" s="283" t="s">
        <v>81</v>
      </c>
      <c r="B45" s="284" t="s">
        <v>114</v>
      </c>
      <c r="C45" s="285" t="s">
        <v>75</v>
      </c>
      <c r="D45"/>
    </row>
    <row r="46" spans="1:4" x14ac:dyDescent="0.3">
      <c r="A46" s="12" t="s">
        <v>39</v>
      </c>
      <c r="B46" s="38">
        <f>B35*Input!D2/2000</f>
        <v>0.31572500000000003</v>
      </c>
      <c r="C46" s="18">
        <f>C35*Input!D2</f>
        <v>612.50649999999996</v>
      </c>
      <c r="D46"/>
    </row>
    <row r="47" spans="1:4" x14ac:dyDescent="0.3">
      <c r="A47" s="12" t="s">
        <v>40</v>
      </c>
      <c r="B47" s="38">
        <f>B36*Input!D2/2000</f>
        <v>4.1974999999999998E-2</v>
      </c>
      <c r="C47" s="18">
        <f>C36*Input!D2</f>
        <v>81.4315</v>
      </c>
      <c r="D47"/>
    </row>
    <row r="48" spans="1:4" x14ac:dyDescent="0.3">
      <c r="A48" s="12" t="s">
        <v>7</v>
      </c>
      <c r="B48" s="38">
        <f>B37*Input!D2/2000</f>
        <v>0.16059999999999999</v>
      </c>
      <c r="C48" s="18">
        <f>C37*Input!D2</f>
        <v>237.68799999999999</v>
      </c>
      <c r="D48"/>
    </row>
    <row r="49" spans="1:4" x14ac:dyDescent="0.3">
      <c r="A49" s="12" t="s">
        <v>8</v>
      </c>
      <c r="B49" s="38">
        <f>B38*Input!D2/2000</f>
        <v>0.10585</v>
      </c>
      <c r="C49" s="18">
        <f>C38*Input!D2</f>
        <v>156.65799999999999</v>
      </c>
      <c r="D49"/>
    </row>
    <row r="50" spans="1:4" x14ac:dyDescent="0.3">
      <c r="A50" s="12" t="s">
        <v>41</v>
      </c>
      <c r="B50" s="38">
        <f>B39*Input!D2/2000</f>
        <v>0.59677499999999994</v>
      </c>
      <c r="C50" s="18">
        <f>C39*Input!D2</f>
        <v>1396.4534999999998</v>
      </c>
      <c r="D50"/>
    </row>
    <row r="51" spans="1:4" x14ac:dyDescent="0.3">
      <c r="A51" s="12" t="s">
        <v>9</v>
      </c>
      <c r="B51" s="38">
        <f>B40*Input!D2/2000</f>
        <v>0.46355000000000002</v>
      </c>
      <c r="C51" s="18">
        <f>C40*Input!D2</f>
        <v>602.61500000000001</v>
      </c>
      <c r="D51"/>
    </row>
    <row r="52" spans="1:4" x14ac:dyDescent="0.3">
      <c r="A52" s="12" t="s">
        <v>42</v>
      </c>
      <c r="B52" s="38">
        <f>B41*Input!D2/2000</f>
        <v>0.32485000000000003</v>
      </c>
      <c r="C52" s="18">
        <f>C41*Input!D2</f>
        <v>1494.3099999999997</v>
      </c>
      <c r="D52"/>
    </row>
    <row r="53" spans="1:4" x14ac:dyDescent="0.3">
      <c r="A53" s="15" t="s">
        <v>43</v>
      </c>
      <c r="B53" s="39">
        <f>B42*Input!D2/2000</f>
        <v>0.10037500000000002</v>
      </c>
      <c r="C53" s="20">
        <f>C42*Input!D2</f>
        <v>289.08000000000004</v>
      </c>
      <c r="D53"/>
    </row>
    <row r="54" spans="1:4" x14ac:dyDescent="0.3">
      <c r="A54" s="46" t="s">
        <v>102</v>
      </c>
      <c r="B54" s="48">
        <f>SUM(B46:B53)</f>
        <v>2.1097000000000001</v>
      </c>
      <c r="C54" s="47">
        <f>SUBTOTAL(109,AnEst1[Cost])</f>
        <v>4870.7424999999994</v>
      </c>
      <c r="D54"/>
    </row>
    <row r="55" spans="1:4" x14ac:dyDescent="0.3">
      <c r="B55"/>
      <c r="C55"/>
      <c r="D55"/>
    </row>
    <row r="56" spans="1:4" x14ac:dyDescent="0.3">
      <c r="B56"/>
      <c r="C56"/>
      <c r="D56"/>
    </row>
    <row r="57" spans="1:4" x14ac:dyDescent="0.3">
      <c r="B57"/>
      <c r="C57"/>
      <c r="D57"/>
    </row>
    <row r="58" spans="1:4" x14ac:dyDescent="0.3">
      <c r="B58"/>
      <c r="C58"/>
    </row>
    <row r="59" spans="1:4" x14ac:dyDescent="0.3">
      <c r="B59"/>
      <c r="C59"/>
    </row>
    <row r="60" spans="1:4" x14ac:dyDescent="0.3">
      <c r="B60"/>
      <c r="C60"/>
    </row>
    <row r="61" spans="1:4" x14ac:dyDescent="0.3">
      <c r="B61"/>
      <c r="C61"/>
    </row>
    <row r="62" spans="1:4" x14ac:dyDescent="0.3">
      <c r="B62"/>
      <c r="C62"/>
    </row>
    <row r="63" spans="1:4" x14ac:dyDescent="0.3">
      <c r="B63"/>
      <c r="C63"/>
    </row>
    <row r="64" spans="1:4" x14ac:dyDescent="0.3">
      <c r="B64"/>
      <c r="C64"/>
    </row>
    <row r="65" spans="1:3" x14ac:dyDescent="0.3">
      <c r="B65"/>
      <c r="C65"/>
    </row>
    <row r="66" spans="1:3" x14ac:dyDescent="0.3">
      <c r="B66"/>
      <c r="C66"/>
    </row>
    <row r="67" spans="1:3" x14ac:dyDescent="0.3">
      <c r="A67" s="283" t="s">
        <v>38</v>
      </c>
      <c r="B67" s="287" t="s">
        <v>92</v>
      </c>
      <c r="C67" s="285" t="s">
        <v>75</v>
      </c>
    </row>
    <row r="68" spans="1:3" x14ac:dyDescent="0.3">
      <c r="A68" s="12" t="s">
        <v>53</v>
      </c>
      <c r="B68" s="5">
        <f>SUMIFS(Input[Weight (lbs.)],Input[Loss reason],A68)</f>
        <v>1.73</v>
      </c>
      <c r="C68" s="18">
        <f>SUMIFS(Input[Cost / value],Input[Loss reason],A68)</f>
        <v>1.6780999999999999</v>
      </c>
    </row>
    <row r="69" spans="1:3" x14ac:dyDescent="0.3">
      <c r="A69" s="12" t="s">
        <v>54</v>
      </c>
      <c r="B69" s="5">
        <f>SUMIFS(Input[Weight (lbs.)],Input[Loss reason],A69)</f>
        <v>0.23</v>
      </c>
      <c r="C69" s="18">
        <f>SUMIFS(Input[Cost / value],Input[Loss reason],A69)</f>
        <v>0.22309999999999999</v>
      </c>
    </row>
    <row r="70" spans="1:3" x14ac:dyDescent="0.3">
      <c r="A70" s="12" t="s">
        <v>55</v>
      </c>
      <c r="B70" s="5">
        <f>SUMIFS(Input[Weight (lbs.)],Input[Loss reason],A70)</f>
        <v>0.88</v>
      </c>
      <c r="C70" s="18">
        <f>SUMIFS(Input[Cost / value],Input[Loss reason],A70)</f>
        <v>0.6512</v>
      </c>
    </row>
    <row r="71" spans="1:3" x14ac:dyDescent="0.3">
      <c r="A71" s="12" t="s">
        <v>56</v>
      </c>
      <c r="B71" s="5">
        <f>SUMIFS(Input[Weight (lbs.)],Input[Loss reason],A71)</f>
        <v>0.57999999999999996</v>
      </c>
      <c r="C71" s="18">
        <f>SUMIFS(Input[Cost / value],Input[Loss reason],A71)</f>
        <v>0.42919999999999997</v>
      </c>
    </row>
    <row r="72" spans="1:3" x14ac:dyDescent="0.3">
      <c r="A72" s="12" t="s">
        <v>57</v>
      </c>
      <c r="B72" s="5">
        <f>SUMIFS(Input[Weight (lbs.)],Input[Loss reason],A72)</f>
        <v>3.27</v>
      </c>
      <c r="C72" s="18">
        <f>SUMIFS(Input[Cost / value],Input[Loss reason],A72)</f>
        <v>3.8258999999999999</v>
      </c>
    </row>
    <row r="73" spans="1:3" x14ac:dyDescent="0.3">
      <c r="A73" s="15" t="s">
        <v>58</v>
      </c>
      <c r="B73" s="21">
        <f>SUMIFS(Input[Weight (lbs.)],Input[Loss reason],A73)</f>
        <v>2.54</v>
      </c>
      <c r="C73" s="20">
        <f>SUMIFS(Input[Cost / value],Input[Loss reason],A73)</f>
        <v>1.651</v>
      </c>
    </row>
    <row r="100" spans="1:3" x14ac:dyDescent="0.3">
      <c r="A100" s="283" t="s">
        <v>61</v>
      </c>
      <c r="B100" s="287" t="s">
        <v>92</v>
      </c>
      <c r="C100" s="285" t="s">
        <v>75</v>
      </c>
    </row>
    <row r="101" spans="1:3" x14ac:dyDescent="0.3">
      <c r="A101" s="12" t="s">
        <v>62</v>
      </c>
      <c r="B101" s="5">
        <f>SUMIFS(Input[Weight (lbs.)],Input[Disposal],A101)</f>
        <v>3.27</v>
      </c>
      <c r="C101" s="18">
        <f>SUMIFS(Input[Cost / value],Input[Disposal],A101)</f>
        <v>3.8258999999999999</v>
      </c>
    </row>
    <row r="102" spans="1:3" x14ac:dyDescent="0.3">
      <c r="A102" s="12" t="s">
        <v>63</v>
      </c>
      <c r="B102" s="5">
        <f>SUMIFS(Input[Weight (lbs.)],Input[Disposal],A102)</f>
        <v>0.57999999999999996</v>
      </c>
      <c r="C102" s="18">
        <f>SUMIFS(Input[Cost / value],Input[Disposal],A102)</f>
        <v>0.42919999999999997</v>
      </c>
    </row>
    <row r="103" spans="1:3" x14ac:dyDescent="0.3">
      <c r="A103" s="12" t="s">
        <v>64</v>
      </c>
      <c r="B103" s="5">
        <f>SUMIFS(Input[Weight (lbs.)],Input[Disposal],A103)</f>
        <v>0.88</v>
      </c>
      <c r="C103" s="18">
        <f>SUMIFS(Input[Cost / value],Input[Disposal],A103)</f>
        <v>0.6512</v>
      </c>
    </row>
    <row r="104" spans="1:3" x14ac:dyDescent="0.3">
      <c r="A104" s="12" t="s">
        <v>65</v>
      </c>
      <c r="B104" s="5">
        <f>SUMIFS(Input[Weight (lbs.)],Input[Disposal],A104)</f>
        <v>0.23</v>
      </c>
      <c r="C104" s="18">
        <f>SUMIFS(Input[Cost / value],Input[Disposal],A104)</f>
        <v>0.22309999999999999</v>
      </c>
    </row>
    <row r="105" spans="1:3" x14ac:dyDescent="0.3">
      <c r="A105" s="12" t="s">
        <v>66</v>
      </c>
      <c r="B105" s="5">
        <f>SUMIFS(Input[Weight (lbs.)],Input[Disposal],A105)</f>
        <v>1.73</v>
      </c>
      <c r="C105" s="18">
        <f>SUMIFS(Input[Cost / value],Input[Disposal],A105)</f>
        <v>1.6780999999999999</v>
      </c>
    </row>
    <row r="106" spans="1:3" x14ac:dyDescent="0.3">
      <c r="B106"/>
      <c r="C106"/>
    </row>
    <row r="107" spans="1:3" x14ac:dyDescent="0.3">
      <c r="B107"/>
      <c r="C107"/>
    </row>
    <row r="108" spans="1:3" x14ac:dyDescent="0.3">
      <c r="B108"/>
      <c r="C108"/>
    </row>
    <row r="133" spans="1:3" x14ac:dyDescent="0.3">
      <c r="A133" s="283" t="s">
        <v>122</v>
      </c>
      <c r="B133" s="287" t="s">
        <v>92</v>
      </c>
      <c r="C133" s="285" t="s">
        <v>126</v>
      </c>
    </row>
    <row r="134" spans="1:3" x14ac:dyDescent="0.3">
      <c r="A134" s="105" t="s">
        <v>169</v>
      </c>
      <c r="B134" s="32">
        <f>SUMIFS(Input[Weight (lbs.)],Input[Alternative disposal],A134)</f>
        <v>1.73</v>
      </c>
      <c r="C134" s="18">
        <f>SUMIFS(Input[Cost / value],Input[Alternative disposal],A134)</f>
        <v>1.6780999999999999</v>
      </c>
    </row>
    <row r="135" spans="1:3" x14ac:dyDescent="0.3">
      <c r="A135" s="12" t="s">
        <v>62</v>
      </c>
      <c r="B135" s="44">
        <f>SUMIFS(Input[Weight (lbs.)],Input[Alternative disposal],A135)</f>
        <v>0.23</v>
      </c>
      <c r="C135" s="18">
        <f>SUMIFS(Input[Cost / value],Input[Alternative disposal],A135)</f>
        <v>0.22309999999999999</v>
      </c>
    </row>
    <row r="136" spans="1:3" x14ac:dyDescent="0.3">
      <c r="A136" s="12" t="s">
        <v>63</v>
      </c>
      <c r="B136" s="44">
        <f>SUMIFS(Input[Weight (lbs.)],Input[Alternative disposal],A136)</f>
        <v>0.88</v>
      </c>
      <c r="C136" s="18">
        <f>SUMIFS(Input[Cost / value],Input[Alternative disposal],A136)</f>
        <v>0.6512</v>
      </c>
    </row>
    <row r="137" spans="1:3" x14ac:dyDescent="0.3">
      <c r="A137" s="12" t="s">
        <v>64</v>
      </c>
      <c r="B137" s="44">
        <f>SUMIFS(Input[Weight (lbs.)],Input[Alternative disposal],A137)</f>
        <v>0.57999999999999996</v>
      </c>
      <c r="C137" s="18">
        <f>SUMIFS(Input[Cost / value],Input[Alternative disposal],A137)</f>
        <v>0.42919999999999997</v>
      </c>
    </row>
    <row r="138" spans="1:3" x14ac:dyDescent="0.3">
      <c r="A138" s="12" t="s">
        <v>65</v>
      </c>
      <c r="B138" s="44">
        <f>SUMIFS(Input[Weight (lbs.)],Input[Alternative disposal],A138)</f>
        <v>3.27</v>
      </c>
      <c r="C138" s="18">
        <f>SUMIFS(Input[Cost / value],Input[Alternative disposal],A138)</f>
        <v>3.8258999999999999</v>
      </c>
    </row>
    <row r="139" spans="1:3" x14ac:dyDescent="0.3">
      <c r="A139" s="12" t="s">
        <v>66</v>
      </c>
      <c r="B139" s="44">
        <f>SUMIFS(Input[Weight (lbs.)],Input[Alternative disposal],A139)</f>
        <v>2.54</v>
      </c>
      <c r="C139" s="18">
        <f>SUMIFS(Input[Cost / value],Input[Alternative disposal],A139)</f>
        <v>1.651</v>
      </c>
    </row>
    <row r="140" spans="1:3" ht="15" thickBot="1" x14ac:dyDescent="0.35"/>
    <row r="141" spans="1:3" ht="15" thickBot="1" x14ac:dyDescent="0.35">
      <c r="A141" s="143" t="s">
        <v>127</v>
      </c>
      <c r="B141" s="144"/>
      <c r="C141" s="145"/>
    </row>
    <row r="142" spans="1:3" ht="15" thickBot="1" x14ac:dyDescent="0.35">
      <c r="A142" s="313" t="s">
        <v>122</v>
      </c>
      <c r="B142" s="314" t="s">
        <v>114</v>
      </c>
      <c r="C142" s="315" t="s">
        <v>126</v>
      </c>
    </row>
    <row r="143" spans="1:3" x14ac:dyDescent="0.3">
      <c r="A143" s="106" t="s">
        <v>169</v>
      </c>
      <c r="B143" s="107">
        <f>B134*Input!D2/2000</f>
        <v>0.31572500000000003</v>
      </c>
      <c r="C143" s="108">
        <f>C134*Input!D2</f>
        <v>612.50649999999996</v>
      </c>
    </row>
    <row r="144" spans="1:3" x14ac:dyDescent="0.3">
      <c r="A144" s="12" t="s">
        <v>62</v>
      </c>
      <c r="B144" s="38">
        <f>B135*Input!D2/2000</f>
        <v>4.1974999999999998E-2</v>
      </c>
      <c r="C144" s="18">
        <f>C135*Input!D2</f>
        <v>81.4315</v>
      </c>
    </row>
    <row r="145" spans="1:3" x14ac:dyDescent="0.3">
      <c r="A145" s="12" t="s">
        <v>63</v>
      </c>
      <c r="B145" s="38">
        <f>B136*Input!D2/2000</f>
        <v>0.16059999999999999</v>
      </c>
      <c r="C145" s="18">
        <f>C136*Input!D2</f>
        <v>237.68799999999999</v>
      </c>
    </row>
    <row r="146" spans="1:3" x14ac:dyDescent="0.3">
      <c r="A146" s="12" t="s">
        <v>64</v>
      </c>
      <c r="B146" s="38">
        <f>B137*Input!D2/2000</f>
        <v>0.10585</v>
      </c>
      <c r="C146" s="18">
        <f>C137*Input!D2</f>
        <v>156.65799999999999</v>
      </c>
    </row>
    <row r="147" spans="1:3" x14ac:dyDescent="0.3">
      <c r="A147" s="12" t="s">
        <v>65</v>
      </c>
      <c r="B147" s="38">
        <f>B138*Input!D2/2000</f>
        <v>0.59677499999999994</v>
      </c>
      <c r="C147" s="18">
        <f>C138*Input!D2</f>
        <v>1396.4534999999998</v>
      </c>
    </row>
    <row r="148" spans="1:3" x14ac:dyDescent="0.3">
      <c r="A148" s="12" t="s">
        <v>66</v>
      </c>
      <c r="B148" s="38">
        <f>B139*Input!D2/2000</f>
        <v>0.46355000000000002</v>
      </c>
      <c r="C148" s="18">
        <f>C139*Input!D2</f>
        <v>602.61500000000001</v>
      </c>
    </row>
    <row r="149" spans="1:3" x14ac:dyDescent="0.3">
      <c r="A149" s="69" t="s">
        <v>102</v>
      </c>
      <c r="B149" s="70">
        <f>SUM(B143:B148)</f>
        <v>1.6844749999999999</v>
      </c>
      <c r="C149" s="71">
        <f>SUBTOTAL(109,AnEstAlt1[Cost / value])</f>
        <v>3087.3525</v>
      </c>
    </row>
  </sheetData>
  <mergeCells count="3">
    <mergeCell ref="A44:C44"/>
    <mergeCell ref="A141:C141"/>
    <mergeCell ref="A1:K1"/>
  </mergeCells>
  <pageMargins left="0.25" right="0.25" top="1.03125" bottom="0.75" header="0.3" footer="0.3"/>
  <pageSetup orientation="landscape" r:id="rId1"/>
  <headerFooter>
    <oddHeader>&amp;L&amp;G</oddHeader>
    <oddFooter>&amp;CSubtotals, page &amp;P of &amp;N</oddFooter>
  </headerFooter>
  <drawing r:id="rId2"/>
  <legacyDrawingHF r:id="rId3"/>
  <tableParts count="7">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4237-63B6-422B-99A2-AE106E81AEE4}">
  <dimension ref="A1:L61"/>
  <sheetViews>
    <sheetView view="pageLayout" zoomScale="130" zoomScaleNormal="100" zoomScalePageLayoutView="130" workbookViewId="0">
      <selection activeCell="I3" sqref="I3"/>
    </sheetView>
  </sheetViews>
  <sheetFormatPr defaultColWidth="9.109375" defaultRowHeight="14.4" x14ac:dyDescent="0.3"/>
  <cols>
    <col min="1" max="1" width="19.77734375" customWidth="1"/>
    <col min="2" max="2" width="12.109375" customWidth="1"/>
    <col min="3" max="5" width="12.109375" style="1" customWidth="1"/>
    <col min="6" max="6" width="12.109375" customWidth="1"/>
    <col min="7" max="7" width="8.33203125" style="1" customWidth="1"/>
    <col min="8" max="8" width="9.33203125" customWidth="1"/>
    <col min="9" max="9" width="8.88671875" customWidth="1"/>
    <col min="10" max="10" width="8.77734375" customWidth="1"/>
    <col min="11" max="11" width="8.33203125" customWidth="1"/>
    <col min="12" max="12" width="9.77734375" customWidth="1"/>
    <col min="13" max="13" width="12.44140625" customWidth="1"/>
    <col min="14" max="14" width="9.33203125" customWidth="1"/>
    <col min="15" max="15" width="11.109375" customWidth="1"/>
    <col min="16" max="21" width="8.88671875" customWidth="1"/>
  </cols>
  <sheetData>
    <row r="1" spans="1:12" ht="18" x14ac:dyDescent="0.35">
      <c r="A1" s="146" t="s">
        <v>180</v>
      </c>
      <c r="B1" s="146"/>
      <c r="C1" s="146"/>
      <c r="D1" s="146"/>
      <c r="E1" s="146"/>
      <c r="F1" s="146"/>
      <c r="G1" s="146"/>
      <c r="H1" s="146"/>
      <c r="I1" s="146"/>
      <c r="J1" s="146"/>
      <c r="K1" s="146"/>
      <c r="L1" s="146"/>
    </row>
    <row r="2" spans="1:12" ht="18.600000000000001" thickBot="1" x14ac:dyDescent="0.4">
      <c r="A2" s="101"/>
      <c r="B2" s="101"/>
      <c r="C2" s="101"/>
      <c r="D2" s="101"/>
      <c r="E2" s="101"/>
      <c r="F2" s="101"/>
      <c r="G2" s="101"/>
      <c r="H2" s="101"/>
      <c r="I2" s="101"/>
    </row>
    <row r="3" spans="1:12" ht="15.75" customHeight="1" x14ac:dyDescent="0.3">
      <c r="A3" s="143" t="s">
        <v>181</v>
      </c>
      <c r="B3" s="144"/>
      <c r="C3" s="144"/>
      <c r="D3" s="144"/>
      <c r="E3" s="144"/>
      <c r="F3" s="144"/>
      <c r="G3" s="145"/>
    </row>
    <row r="4" spans="1:12" ht="33" customHeight="1" x14ac:dyDescent="0.3">
      <c r="A4" s="281" t="s">
        <v>81</v>
      </c>
      <c r="B4" s="282" t="s">
        <v>66</v>
      </c>
      <c r="C4" s="280" t="s">
        <v>65</v>
      </c>
      <c r="D4" s="280" t="s">
        <v>177</v>
      </c>
      <c r="E4" s="280" t="s">
        <v>179</v>
      </c>
      <c r="F4" s="282" t="s">
        <v>178</v>
      </c>
      <c r="G4" s="294" t="s">
        <v>102</v>
      </c>
      <c r="J4" s="1"/>
    </row>
    <row r="5" spans="1:12" ht="15.75" customHeight="1" x14ac:dyDescent="0.3">
      <c r="A5" s="12" t="s">
        <v>39</v>
      </c>
      <c r="B5" s="75">
        <f>SUMIFS(Input[Weight (lbs.)],Input[Disposal],"Landfill",Input[WARM category],A5)</f>
        <v>1.73</v>
      </c>
      <c r="C5" s="75">
        <f>SUMIFS(Input[Weight (lbs.)],Input[Disposal],"Composting",Input[WARM category],A5)</f>
        <v>0</v>
      </c>
      <c r="D5" s="75">
        <f>SUMIFS(Input[Weight (lbs.)],Input[Disposal],"Industrial Use",Input[WARM category],A5)</f>
        <v>0</v>
      </c>
      <c r="E5" s="75">
        <f>SUMIFS(Input[Weight (lbs.)],Input[Disposal],"Donation for animals",Input[WARM category],A5)</f>
        <v>0</v>
      </c>
      <c r="F5" s="75">
        <f>SUMIFS(Input[Weight (lbs.)],Input[Disposal],"Donation for people",Input[WARM category],A5)</f>
        <v>0</v>
      </c>
      <c r="G5" s="295">
        <f t="shared" ref="G5:G12" si="0">SUM(B5:F5)</f>
        <v>1.73</v>
      </c>
    </row>
    <row r="6" spans="1:12" ht="15.75" customHeight="1" x14ac:dyDescent="0.3">
      <c r="A6" s="12" t="s">
        <v>40</v>
      </c>
      <c r="B6" s="75">
        <f>SUMIFS(Input[Weight (lbs.)],Input[Disposal],"Landfill",Input[WARM category],A6)</f>
        <v>0</v>
      </c>
      <c r="C6" s="75">
        <f>SUMIFS(Input[Weight (lbs.)],Input[Disposal],"Composting",Input[WARM category],A6)</f>
        <v>0.23</v>
      </c>
      <c r="D6" s="75">
        <f>SUMIFS(Input[Weight (lbs.)],Input[Disposal],"Industrial Use",Input[WARM category],A6)</f>
        <v>0</v>
      </c>
      <c r="E6" s="75">
        <f>SUMIFS(Input[Weight (lbs.)],Input[Disposal],"Donation for animals",Input[WARM category],A6)</f>
        <v>0</v>
      </c>
      <c r="F6" s="75">
        <f>SUMIFS(Input[Weight (lbs.)],Input[Disposal],"Donation for people",Input[WARM category],A6)</f>
        <v>0</v>
      </c>
      <c r="G6" s="295">
        <f t="shared" si="0"/>
        <v>0.23</v>
      </c>
    </row>
    <row r="7" spans="1:12" ht="15.75" customHeight="1" x14ac:dyDescent="0.3">
      <c r="A7" s="12" t="s">
        <v>7</v>
      </c>
      <c r="B7" s="75">
        <f>SUMIFS(Input[Weight (lbs.)],Input[Disposal],"Landfill",Input[WARM category],A7)</f>
        <v>0</v>
      </c>
      <c r="C7" s="75">
        <f>SUMIFS(Input[Weight (lbs.)],Input[Disposal],"Composting",Input[WARM category],A7)</f>
        <v>0</v>
      </c>
      <c r="D7" s="75">
        <f>SUMIFS(Input[Weight (lbs.)],Input[Disposal],"Industrial Use",Input[WARM category],A7)</f>
        <v>0.88</v>
      </c>
      <c r="E7" s="75">
        <f>SUMIFS(Input[Weight (lbs.)],Input[Disposal],"Donation for animals",Input[WARM category],A7)</f>
        <v>0</v>
      </c>
      <c r="F7" s="75">
        <f>SUMIFS(Input[Weight (lbs.)],Input[Disposal],"Donation for people",Input[WARM category],A7)</f>
        <v>0</v>
      </c>
      <c r="G7" s="295">
        <f t="shared" si="0"/>
        <v>0.88</v>
      </c>
    </row>
    <row r="8" spans="1:12" ht="15.75" customHeight="1" x14ac:dyDescent="0.3">
      <c r="A8" s="12" t="s">
        <v>8</v>
      </c>
      <c r="B8" s="75">
        <f>SUMIFS(Input[Weight (lbs.)],Input[Disposal],"Landfill",Input[WARM category],A8)</f>
        <v>0</v>
      </c>
      <c r="C8" s="75">
        <f>SUMIFS(Input[Weight (lbs.)],Input[Disposal],"Composting",Input[WARM category],A8)</f>
        <v>0</v>
      </c>
      <c r="D8" s="75">
        <f>SUMIFS(Input[Weight (lbs.)],Input[Disposal],"Industrial Use",Input[WARM category],A8)</f>
        <v>0</v>
      </c>
      <c r="E8" s="75">
        <f>SUMIFS(Input[Weight (lbs.)],Input[Disposal],"Donation for animals",Input[WARM category],A8)</f>
        <v>0.57999999999999996</v>
      </c>
      <c r="F8" s="75">
        <f>SUMIFS(Input[Weight (lbs.)],Input[Disposal],"Donation for people",Input[WARM category],A8)</f>
        <v>0</v>
      </c>
      <c r="G8" s="295">
        <f t="shared" si="0"/>
        <v>0.57999999999999996</v>
      </c>
    </row>
    <row r="9" spans="1:12" ht="15.75" customHeight="1" x14ac:dyDescent="0.3">
      <c r="A9" s="12" t="s">
        <v>41</v>
      </c>
      <c r="B9" s="75">
        <f>SUMIFS(Input[Weight (lbs.)],Input[Disposal],"Landfill",Input[WARM category],A9)</f>
        <v>0</v>
      </c>
      <c r="C9" s="75">
        <f>SUMIFS(Input[Weight (lbs.)],Input[Disposal],"Composting",Input[WARM category],A9)</f>
        <v>0</v>
      </c>
      <c r="D9" s="75">
        <f>SUMIFS(Input[Weight (lbs.)],Input[Disposal],"Industrial Use",Input[WARM category],A9)</f>
        <v>0</v>
      </c>
      <c r="E9" s="75">
        <f>SUMIFS(Input[Weight (lbs.)],Input[Disposal],"Donation for animals",Input[WARM category],A9)</f>
        <v>0</v>
      </c>
      <c r="F9" s="75">
        <f>SUMIFS(Input[Weight (lbs.)],Input[Disposal],"Donation for people",Input[WARM category],A9)</f>
        <v>3.27</v>
      </c>
      <c r="G9" s="295">
        <f t="shared" si="0"/>
        <v>3.27</v>
      </c>
    </row>
    <row r="10" spans="1:12" x14ac:dyDescent="0.3">
      <c r="A10" s="12" t="s">
        <v>9</v>
      </c>
      <c r="B10" s="75">
        <f>SUMIFS(Input[Weight (lbs.)],Input[Disposal],"Landfill",Input[WARM category],A10)</f>
        <v>0</v>
      </c>
      <c r="C10" s="75">
        <f>SUMIFS(Input[Weight (lbs.)],Input[Disposal],"Composting",Input[WARM category],A10)</f>
        <v>0</v>
      </c>
      <c r="D10" s="75">
        <f>SUMIFS(Input[Weight (lbs.)],Input[Disposal],"Industrial Use",Input[WARM category],A10)</f>
        <v>0</v>
      </c>
      <c r="E10" s="75">
        <f>SUMIFS(Input[Weight (lbs.)],Input[Disposal],"Donation for animals",Input[WARM category],A10)</f>
        <v>0</v>
      </c>
      <c r="F10" s="75">
        <f>SUMIFS(Input[Weight (lbs.)],Input[Disposal],"Donation for people",Input[WARM category],A10)</f>
        <v>0</v>
      </c>
      <c r="G10" s="295">
        <f t="shared" si="0"/>
        <v>0</v>
      </c>
    </row>
    <row r="11" spans="1:12" ht="15.75" customHeight="1" x14ac:dyDescent="0.3">
      <c r="A11" s="12" t="s">
        <v>42</v>
      </c>
      <c r="B11" s="75">
        <f>SUMIFS(Input[Weight (lbs.)],Input[Disposal],"Landfill",Input[WARM category],A11)</f>
        <v>0</v>
      </c>
      <c r="C11" s="75">
        <f>SUMIFS(Input[Weight (lbs.)],Input[Disposal],"Composting",Input[WARM category],A11)</f>
        <v>0</v>
      </c>
      <c r="D11" s="75">
        <f>SUMIFS(Input[Weight (lbs.)],Input[Disposal],"Industrial Use",Input[WARM category],A11)</f>
        <v>0</v>
      </c>
      <c r="E11" s="75">
        <f>SUMIFS(Input[Weight (lbs.)],Input[Disposal],"Donation for animals",Input[WARM category],A11)</f>
        <v>0</v>
      </c>
      <c r="F11" s="75">
        <f>SUMIFS(Input[Weight (lbs.)],Input[Disposal],"Donation for people",Input[WARM category],A11)</f>
        <v>0</v>
      </c>
      <c r="G11" s="295">
        <f t="shared" si="0"/>
        <v>0</v>
      </c>
    </row>
    <row r="12" spans="1:12" ht="15.75" customHeight="1" thickBot="1" x14ac:dyDescent="0.35">
      <c r="A12" s="15" t="s">
        <v>43</v>
      </c>
      <c r="B12" s="75">
        <f>SUMIFS(Input[Weight (lbs.)],Input[Disposal],"Landfill",Input[WARM category],A12)</f>
        <v>0</v>
      </c>
      <c r="C12" s="75">
        <f>SUMIFS(Input[Weight (lbs.)],Input[Disposal],"Composting",Input[WARM category],A12)</f>
        <v>0</v>
      </c>
      <c r="D12" s="75">
        <f>SUMIFS(Input[Weight (lbs.)],Input[Disposal],"Industrial Use",Input[WARM category],A12)</f>
        <v>0</v>
      </c>
      <c r="E12" s="75">
        <f>SUMIFS(Input[Weight (lbs.)],Input[Disposal],"Donation for animals",Input[WARM category],A12)</f>
        <v>0</v>
      </c>
      <c r="F12" s="75">
        <f>SUMIFS(Input[Weight (lbs.)],Input[Disposal],"Donation for people",Input[WARM category],A12)</f>
        <v>0</v>
      </c>
      <c r="G12" s="296">
        <f t="shared" si="0"/>
        <v>0</v>
      </c>
    </row>
    <row r="13" spans="1:12" ht="15.75" customHeight="1" thickBot="1" x14ac:dyDescent="0.35">
      <c r="A13" s="79" t="s">
        <v>102</v>
      </c>
      <c r="B13" s="80">
        <f>SUM(B5:B12)</f>
        <v>1.73</v>
      </c>
      <c r="C13" s="80">
        <f>SUM(C5:C12)</f>
        <v>0.23</v>
      </c>
      <c r="D13" s="80">
        <f>SUM(D5:D12)</f>
        <v>0.88</v>
      </c>
      <c r="E13" s="80">
        <f t="shared" ref="E13:F13" si="1">SUM(E5:E12)</f>
        <v>0.57999999999999996</v>
      </c>
      <c r="F13" s="293">
        <f t="shared" si="1"/>
        <v>3.27</v>
      </c>
      <c r="G13" s="297">
        <f>SUM(G5:G12)</f>
        <v>6.6899999999999995</v>
      </c>
    </row>
    <row r="14" spans="1:12" s="103" customFormat="1" ht="15.75" customHeight="1" thickBot="1" x14ac:dyDescent="0.35">
      <c r="A14" s="109"/>
      <c r="B14" s="110"/>
      <c r="C14" s="110"/>
      <c r="D14" s="111"/>
      <c r="E14" s="110"/>
    </row>
    <row r="15" spans="1:12" ht="15.75" customHeight="1" x14ac:dyDescent="0.3">
      <c r="A15" s="143" t="s">
        <v>182</v>
      </c>
      <c r="B15" s="144"/>
      <c r="C15" s="144"/>
      <c r="D15" s="144"/>
      <c r="E15" s="144"/>
      <c r="F15" s="144"/>
      <c r="G15" s="145"/>
    </row>
    <row r="16" spans="1:12" ht="29.4" thickBot="1" x14ac:dyDescent="0.35">
      <c r="A16" s="323" t="s">
        <v>81</v>
      </c>
      <c r="B16" s="324" t="s">
        <v>66</v>
      </c>
      <c r="C16" s="325" t="s">
        <v>65</v>
      </c>
      <c r="D16" s="325" t="s">
        <v>177</v>
      </c>
      <c r="E16" s="325" t="s">
        <v>179</v>
      </c>
      <c r="F16" s="326" t="s">
        <v>178</v>
      </c>
      <c r="G16" s="327" t="s">
        <v>102</v>
      </c>
    </row>
    <row r="17" spans="1:7" x14ac:dyDescent="0.3">
      <c r="A17" s="320" t="s">
        <v>39</v>
      </c>
      <c r="B17" s="321">
        <f>SUMIFS(Input[Weight (lbs.)],Input[Disposal],"Landfill",Input[WARM category],A17)*Input!D2/2000</f>
        <v>0.31572500000000003</v>
      </c>
      <c r="C17" s="77">
        <f>SUMIFS(Input[Weight (lbs.)],Input[Disposal],"Composting",Input[WARM category],A17)*Input!D1/2000</f>
        <v>0</v>
      </c>
      <c r="D17" s="77">
        <f>SUMIFS(Input[Weight (lbs.)],Input[Disposal],"Industrial Use",Input[WARM category],A17)*Input!D1/2000</f>
        <v>0</v>
      </c>
      <c r="E17" s="77">
        <f>SUMIFS(Input[Weight (lbs.)],Input[Disposal],"Donation for animals",Input[WARM category],A17)*Input!D1/2000</f>
        <v>0</v>
      </c>
      <c r="F17" s="77">
        <f>SUMIFS(Input[Weight (lbs.)],Input[Disposal],"Donation for people",Input[WARM category],A17)*Input!D1/2000</f>
        <v>0</v>
      </c>
      <c r="G17" s="322">
        <f t="shared" ref="G17:G24" si="2">SUM(B17:F17)</f>
        <v>0.31572500000000003</v>
      </c>
    </row>
    <row r="18" spans="1:7" ht="15.75" customHeight="1" x14ac:dyDescent="0.3">
      <c r="A18" s="317" t="s">
        <v>40</v>
      </c>
      <c r="B18" s="279">
        <f>SUMIFS(Input[Weight (lbs.)],Input[Disposal],"Landfill",Input[WARM category],A18)*Input!D2/2000</f>
        <v>0</v>
      </c>
      <c r="C18" s="75">
        <f>SUMIFS(Input[Weight (lbs.)],Input[Disposal],"Composting",Input[WARM category],A18)*Input!D2/2000</f>
        <v>4.1974999999999998E-2</v>
      </c>
      <c r="D18" s="75">
        <f>SUMIFS(Input[Weight (lbs.)],Input[Disposal],"Industrial Use",Input[WARM category],A18)*Input!D2/2000</f>
        <v>0</v>
      </c>
      <c r="E18" s="75">
        <f>SUMIFS(Input[Weight (lbs.)],Input[Disposal],"Donation for animals",Input[WARM category],A18)*Input!D2/2000</f>
        <v>0</v>
      </c>
      <c r="F18" s="75">
        <f>SUMIFS(Input[Weight (lbs.)],Input[Disposal],"Donation for people",Input[WARM category],A18)*Input!D2/2000</f>
        <v>0</v>
      </c>
      <c r="G18" s="295">
        <f t="shared" si="2"/>
        <v>4.1974999999999998E-2</v>
      </c>
    </row>
    <row r="19" spans="1:7" ht="15.75" customHeight="1" x14ac:dyDescent="0.3">
      <c r="A19" s="317" t="s">
        <v>7</v>
      </c>
      <c r="B19" s="279">
        <f>SUMIFS(Input[Weight (lbs.)],Input[Disposal],"Landfill",Input[WARM category],A19)*Input!D2/2000</f>
        <v>0</v>
      </c>
      <c r="C19" s="75">
        <f>SUMIFS(Input[Weight (lbs.)],Input[Disposal],"Composting",Input[WARM category],A19)*Input!D2/2000</f>
        <v>0</v>
      </c>
      <c r="D19" s="75">
        <f>SUMIFS(Input[Weight (lbs.)],Input[Disposal],"Industrial Use",Input[WARM category],A19)*Input!D2/2000</f>
        <v>0.16059999999999999</v>
      </c>
      <c r="E19" s="75">
        <f>SUMIFS(Input[Weight (lbs.)],Input[Disposal],"Donation for animals",Input[WARM category],A19)*Input!D2/2000</f>
        <v>0</v>
      </c>
      <c r="F19" s="75">
        <f>SUMIFS(Input[Weight (lbs.)],Input[Disposal],"Donation for people",Input[WARM category],A19)*Input!D2/2000</f>
        <v>0</v>
      </c>
      <c r="G19" s="295">
        <f t="shared" si="2"/>
        <v>0.16059999999999999</v>
      </c>
    </row>
    <row r="20" spans="1:7" ht="15.75" customHeight="1" x14ac:dyDescent="0.3">
      <c r="A20" s="317" t="s">
        <v>8</v>
      </c>
      <c r="B20" s="279">
        <f>SUMIFS(Input[Weight (lbs.)],Input[Disposal],"Landfill",Input[WARM category],A20)*Input!D2/2000</f>
        <v>0</v>
      </c>
      <c r="C20" s="75">
        <f>SUMIFS(Input[Weight (lbs.)],Input[Disposal],"Composting",Input[WARM category],A20)*Input!D2/2000</f>
        <v>0</v>
      </c>
      <c r="D20" s="75">
        <f>SUMIFS(Input[Weight (lbs.)],Input[Disposal],"Industrial Use",Input[WARM category],A20)*Input!D2/2000</f>
        <v>0</v>
      </c>
      <c r="E20" s="75">
        <f>SUMIFS(Input[Weight (lbs.)],Input[Disposal],"Donation for animals",Input[WARM category],A20)*Input!D2/2000</f>
        <v>0.10585</v>
      </c>
      <c r="F20" s="75">
        <f>SUMIFS(Input[Weight (lbs.)],Input[Disposal],"Donation for people",Input[WARM category],A20)*Input!D2/2000</f>
        <v>0</v>
      </c>
      <c r="G20" s="295">
        <f t="shared" si="2"/>
        <v>0.10585</v>
      </c>
    </row>
    <row r="21" spans="1:7" ht="15.75" customHeight="1" x14ac:dyDescent="0.3">
      <c r="A21" s="317" t="s">
        <v>41</v>
      </c>
      <c r="B21" s="279">
        <f>SUMIFS(Input[Weight (lbs.)],Input[Disposal],"Landfill",Input[WARM category],A21)*Input!D2/2000</f>
        <v>0</v>
      </c>
      <c r="C21" s="75">
        <f>SUMIFS(Input[Weight (lbs.)],Input[Disposal],"Composting",Input[WARM category],A21)*Input!D2/2000</f>
        <v>0</v>
      </c>
      <c r="D21" s="75">
        <f>SUMIFS(Input[Weight (lbs.)],Input[Disposal],"Industrial Use",Input[WARM category],A21)*Input!D2/2000</f>
        <v>0</v>
      </c>
      <c r="E21" s="75">
        <f>SUMIFS(Input[Weight (lbs.)],Input[Disposal],"Donation for animals",Input[WARM category],A21)*Input!D2/2000</f>
        <v>0</v>
      </c>
      <c r="F21" s="75">
        <f>SUMIFS(Input[Weight (lbs.)],Input[Disposal],"Donation for people",Input[WARM category],A21)*Input!D2/2000</f>
        <v>0.59677499999999994</v>
      </c>
      <c r="G21" s="295">
        <f t="shared" si="2"/>
        <v>0.59677499999999994</v>
      </c>
    </row>
    <row r="22" spans="1:7" ht="15.75" customHeight="1" x14ac:dyDescent="0.3">
      <c r="A22" s="317" t="s">
        <v>9</v>
      </c>
      <c r="B22" s="279">
        <f>SUMIFS(Input[Weight (lbs.)],Input[Disposal],"Landfill",Input[WARM category],A22)*Input!D2/2000</f>
        <v>0</v>
      </c>
      <c r="C22" s="75">
        <f>SUMIFS(Input[Weight (lbs.)],Input[Disposal],"Composting",Input[WARM category],A22)*Input!D2/2000</f>
        <v>0</v>
      </c>
      <c r="D22" s="75">
        <f>SUMIFS(Input[Weight (lbs.)],Input[Disposal],"Industrial Use",Input[WARM category],A22)*Input!D2/2000</f>
        <v>0</v>
      </c>
      <c r="E22" s="75">
        <f>SUMIFS(Input[Weight (lbs.)],Input[Disposal],"Donation for animals",Input[WARM category],A22)*Input!D2/2000</f>
        <v>0</v>
      </c>
      <c r="F22" s="75">
        <f>SUMIFS(Input[Weight (lbs.)],Input[Disposal],"Donation for people",Input[WARM category],A22)*Input!D2/2000</f>
        <v>0</v>
      </c>
      <c r="G22" s="295">
        <f t="shared" si="2"/>
        <v>0</v>
      </c>
    </row>
    <row r="23" spans="1:7" ht="15.75" customHeight="1" x14ac:dyDescent="0.3">
      <c r="A23" s="317" t="s">
        <v>42</v>
      </c>
      <c r="B23" s="279">
        <f>SUMIFS(Input[Weight (lbs.)],Input[Disposal],"Landfill",Input[WARM category],A23)*Input!D2/2000</f>
        <v>0</v>
      </c>
      <c r="C23" s="75">
        <f>SUMIFS(Input[Weight (lbs.)],Input[Disposal],"Composting",Input[WARM category],A23)*Input!D2/2000</f>
        <v>0</v>
      </c>
      <c r="D23" s="75">
        <f>SUMIFS(Input[Weight (lbs.)],Input[Disposal],"Industrial Use",Input[WARM category],A23)*Input!D2/2000</f>
        <v>0</v>
      </c>
      <c r="E23" s="75">
        <f>SUMIFS(Input[Weight (lbs.)],Input[Disposal],"Donation for animals",Input[WARM category],A23)*Input!D2/2000</f>
        <v>0</v>
      </c>
      <c r="F23" s="75">
        <f>SUMIFS(Input[Weight (lbs.)],Input[Disposal],"Donation for people",Input[WARM category],A23)*Input!D2/2000</f>
        <v>0</v>
      </c>
      <c r="G23" s="295">
        <f t="shared" si="2"/>
        <v>0</v>
      </c>
    </row>
    <row r="24" spans="1:7" ht="15.75" customHeight="1" thickBot="1" x14ac:dyDescent="0.35">
      <c r="A24" s="318" t="s">
        <v>43</v>
      </c>
      <c r="B24" s="279">
        <f>SUMIFS(Input[Weight (lbs.)],Input[Disposal],"Landfill",Input[WARM category],A24)*Input!D2/2000</f>
        <v>0</v>
      </c>
      <c r="C24" s="75">
        <f>SUMIFS(Input[Weight (lbs.)],Input[Disposal],"Composting",Input[WARM category],A24)*Input!D2/2000</f>
        <v>0</v>
      </c>
      <c r="D24" s="75">
        <f>SUMIFS(Input[Weight (lbs.)],Input[Disposal],"Industrial Use",Input[WARM category],A24)*Input!D2/2000</f>
        <v>0</v>
      </c>
      <c r="E24" s="75">
        <f>SUMIFS(Input[Weight (lbs.)],Input[Disposal],"Donation for animals",Input[WARM category],A24)*Input!D2/2000</f>
        <v>0</v>
      </c>
      <c r="F24" s="75">
        <f>SUMIFS(Input[Weight (lbs.)],Input[Disposal],"Donation for people",Input[WARM category],A24)*Input!D2/2000</f>
        <v>0</v>
      </c>
      <c r="G24" s="296">
        <f t="shared" si="2"/>
        <v>0</v>
      </c>
    </row>
    <row r="25" spans="1:7" ht="15.75" customHeight="1" thickBot="1" x14ac:dyDescent="0.35">
      <c r="A25" s="319" t="s">
        <v>102</v>
      </c>
      <c r="B25" s="316">
        <f>SUM(B17:B24)</f>
        <v>0.31572500000000003</v>
      </c>
      <c r="C25" s="80">
        <f>SUM(C17:C24)</f>
        <v>4.1974999999999998E-2</v>
      </c>
      <c r="D25" s="80">
        <f>SUM(D17:D24)</f>
        <v>0.16059999999999999</v>
      </c>
      <c r="E25" s="80">
        <f t="shared" ref="E25" si="3">SUM(E17:E24)</f>
        <v>0.10585</v>
      </c>
      <c r="F25" s="293">
        <f t="shared" ref="F25" si="4">SUM(F17:F24)</f>
        <v>0.59677499999999994</v>
      </c>
      <c r="G25" s="297">
        <f>SUM(G17:G24)</f>
        <v>1.2209249999999998</v>
      </c>
    </row>
    <row r="26" spans="1:7" ht="15.75" customHeight="1" x14ac:dyDescent="0.3">
      <c r="A26" s="1"/>
      <c r="C26"/>
      <c r="D26"/>
      <c r="E26"/>
      <c r="G26"/>
    </row>
    <row r="27" spans="1:7" ht="15.75" customHeight="1" x14ac:dyDescent="0.3"/>
    <row r="28" spans="1:7" x14ac:dyDescent="0.3">
      <c r="C28"/>
      <c r="D28"/>
      <c r="E28"/>
      <c r="G28"/>
    </row>
    <row r="29" spans="1:7" ht="36" customHeight="1" x14ac:dyDescent="0.3">
      <c r="C29"/>
      <c r="D29"/>
      <c r="E29"/>
      <c r="G29"/>
    </row>
    <row r="30" spans="1:7" ht="15.75" customHeight="1" x14ac:dyDescent="0.3">
      <c r="C30"/>
      <c r="D30"/>
      <c r="E30"/>
      <c r="G30"/>
    </row>
    <row r="31" spans="1:7" ht="15.75" customHeight="1" x14ac:dyDescent="0.3">
      <c r="C31"/>
      <c r="D31"/>
      <c r="E31"/>
      <c r="G31"/>
    </row>
    <row r="32" spans="1:7" ht="15.75" customHeight="1" x14ac:dyDescent="0.3">
      <c r="C32"/>
      <c r="D32"/>
      <c r="E32"/>
      <c r="G32"/>
    </row>
    <row r="33" spans="1:7" ht="15.75" customHeight="1" x14ac:dyDescent="0.3">
      <c r="C33"/>
      <c r="D33"/>
      <c r="E33"/>
      <c r="G33"/>
    </row>
    <row r="34" spans="1:7" ht="15.75" customHeight="1" x14ac:dyDescent="0.3">
      <c r="C34"/>
      <c r="D34"/>
      <c r="E34"/>
      <c r="G34"/>
    </row>
    <row r="35" spans="1:7" ht="15.75" customHeight="1" x14ac:dyDescent="0.3">
      <c r="C35"/>
      <c r="D35"/>
      <c r="E35"/>
      <c r="G35"/>
    </row>
    <row r="36" spans="1:7" ht="15.75" customHeight="1" x14ac:dyDescent="0.3">
      <c r="C36"/>
      <c r="D36"/>
      <c r="E36"/>
      <c r="G36"/>
    </row>
    <row r="37" spans="1:7" ht="15.75" customHeight="1" x14ac:dyDescent="0.3">
      <c r="C37"/>
      <c r="D37"/>
      <c r="E37"/>
      <c r="G37"/>
    </row>
    <row r="38" spans="1:7" ht="15.75" customHeight="1" x14ac:dyDescent="0.3">
      <c r="C38"/>
      <c r="D38"/>
      <c r="E38"/>
      <c r="G38"/>
    </row>
    <row r="39" spans="1:7" s="103" customFormat="1" ht="15.75" customHeight="1" x14ac:dyDescent="0.3"/>
    <row r="40" spans="1:7" s="103" customFormat="1" ht="15.75" customHeight="1" x14ac:dyDescent="0.3">
      <c r="A40" s="109"/>
      <c r="B40" s="110"/>
      <c r="C40" s="110"/>
    </row>
    <row r="41" spans="1:7" s="103" customFormat="1" ht="15.75" customHeight="1" x14ac:dyDescent="0.3">
      <c r="A41" s="109"/>
      <c r="B41" s="110"/>
      <c r="C41" s="110"/>
    </row>
    <row r="42" spans="1:7" s="103" customFormat="1" ht="15.75" customHeight="1" x14ac:dyDescent="0.3">
      <c r="A42" s="109"/>
      <c r="B42" s="110"/>
      <c r="C42" s="110"/>
    </row>
    <row r="43" spans="1:7" s="103" customFormat="1" ht="15.75" customHeight="1" x14ac:dyDescent="0.3">
      <c r="A43" s="109"/>
      <c r="B43" s="110"/>
      <c r="C43" s="110"/>
    </row>
    <row r="44" spans="1:7" ht="15.75" customHeight="1" x14ac:dyDescent="0.3">
      <c r="C44"/>
      <c r="D44"/>
      <c r="E44"/>
      <c r="G44"/>
    </row>
    <row r="45" spans="1:7" ht="15.75" customHeight="1" x14ac:dyDescent="0.3">
      <c r="D45"/>
      <c r="E45"/>
      <c r="G45"/>
    </row>
    <row r="46" spans="1:7" ht="35.25" customHeight="1" x14ac:dyDescent="0.3">
      <c r="D46"/>
      <c r="E46"/>
      <c r="G46"/>
    </row>
    <row r="47" spans="1:7" ht="15.75" customHeight="1" x14ac:dyDescent="0.3">
      <c r="D47"/>
      <c r="E47"/>
      <c r="G47"/>
    </row>
    <row r="48" spans="1:7" ht="15.75" customHeight="1" x14ac:dyDescent="0.3">
      <c r="D48"/>
      <c r="E48"/>
      <c r="G48"/>
    </row>
    <row r="49" spans="3:7" ht="15.75" customHeight="1" x14ac:dyDescent="0.3">
      <c r="D49"/>
      <c r="E49"/>
      <c r="G49"/>
    </row>
    <row r="50" spans="3:7" ht="15.75" customHeight="1" x14ac:dyDescent="0.3">
      <c r="D50"/>
      <c r="E50"/>
      <c r="G50"/>
    </row>
    <row r="51" spans="3:7" ht="15.75" customHeight="1" x14ac:dyDescent="0.3">
      <c r="D51"/>
      <c r="E51"/>
      <c r="G51"/>
    </row>
    <row r="52" spans="3:7" ht="15.75" customHeight="1" x14ac:dyDescent="0.3">
      <c r="D52"/>
      <c r="E52"/>
      <c r="G52"/>
    </row>
    <row r="53" spans="3:7" ht="15.75" customHeight="1" x14ac:dyDescent="0.3">
      <c r="D53"/>
      <c r="E53"/>
      <c r="G53"/>
    </row>
    <row r="54" spans="3:7" x14ac:dyDescent="0.3">
      <c r="D54"/>
      <c r="E54"/>
      <c r="G54"/>
    </row>
    <row r="55" spans="3:7" x14ac:dyDescent="0.3">
      <c r="D55"/>
      <c r="E55"/>
      <c r="G55"/>
    </row>
    <row r="56" spans="3:7" x14ac:dyDescent="0.3">
      <c r="C56"/>
      <c r="D56"/>
      <c r="E56"/>
      <c r="G56"/>
    </row>
    <row r="57" spans="3:7" ht="15" customHeight="1" x14ac:dyDescent="0.3">
      <c r="C57"/>
      <c r="D57"/>
      <c r="E57"/>
      <c r="G57"/>
    </row>
    <row r="58" spans="3:7" ht="15" customHeight="1" x14ac:dyDescent="0.3">
      <c r="C58"/>
      <c r="D58"/>
      <c r="E58"/>
      <c r="G58"/>
    </row>
    <row r="59" spans="3:7" ht="15" customHeight="1" x14ac:dyDescent="0.3">
      <c r="C59"/>
      <c r="D59"/>
      <c r="E59"/>
      <c r="G59"/>
    </row>
    <row r="60" spans="3:7" ht="15" customHeight="1" x14ac:dyDescent="0.3">
      <c r="C60"/>
      <c r="D60"/>
      <c r="E60"/>
      <c r="G60"/>
    </row>
    <row r="61" spans="3:7" x14ac:dyDescent="0.3">
      <c r="C61"/>
      <c r="D61"/>
      <c r="E61"/>
      <c r="G61"/>
    </row>
  </sheetData>
  <mergeCells count="3">
    <mergeCell ref="A15:G15"/>
    <mergeCell ref="A1:L1"/>
    <mergeCell ref="A3:G3"/>
  </mergeCells>
  <pageMargins left="0.25" right="0.25" top="1.03125" bottom="0.75" header="0.3" footer="0.3"/>
  <pageSetup orientation="landscape" r:id="rId1"/>
  <headerFooter>
    <oddHeader>&amp;L&amp;G</oddHeader>
    <oddFooter>&amp;CBaseline estimate, page &amp;P of &amp;N</oddFooter>
  </headerFooter>
  <legacyDrawingHF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3"/>
  <sheetViews>
    <sheetView view="pageLayout" zoomScale="130" zoomScaleNormal="100" zoomScalePageLayoutView="130" workbookViewId="0">
      <selection activeCell="E8" sqref="E8"/>
    </sheetView>
  </sheetViews>
  <sheetFormatPr defaultColWidth="9.109375" defaultRowHeight="14.4" x14ac:dyDescent="0.3"/>
  <cols>
    <col min="1" max="1" width="19.77734375" customWidth="1"/>
    <col min="2" max="2" width="8.33203125" customWidth="1"/>
    <col min="3" max="3" width="16" style="1" customWidth="1"/>
    <col min="4" max="4" width="11.33203125" style="1" customWidth="1"/>
    <col min="5" max="5" width="16" style="1" customWidth="1"/>
    <col min="6" max="6" width="19.77734375" customWidth="1"/>
    <col min="7" max="7" width="8.33203125" style="1" customWidth="1"/>
    <col min="8" max="8" width="16" bestFit="1" customWidth="1"/>
    <col min="9" max="9" width="11.5546875" customWidth="1"/>
    <col min="10" max="10" width="19.33203125" customWidth="1"/>
    <col min="11" max="11" width="10.33203125" customWidth="1"/>
    <col min="12" max="12" width="22.5546875" bestFit="1" customWidth="1"/>
    <col min="13" max="13" width="12.44140625" customWidth="1"/>
    <col min="14" max="14" width="9.88671875" customWidth="1"/>
    <col min="15" max="15" width="11.109375" customWidth="1"/>
    <col min="16" max="21" width="8.88671875" customWidth="1"/>
  </cols>
  <sheetData>
    <row r="1" spans="1:9" ht="18" x14ac:dyDescent="0.35">
      <c r="A1" s="146" t="s">
        <v>163</v>
      </c>
      <c r="B1" s="146"/>
      <c r="C1" s="146"/>
      <c r="D1" s="146"/>
      <c r="E1" s="146"/>
      <c r="F1" s="146"/>
      <c r="G1" s="146"/>
      <c r="H1" s="146"/>
      <c r="I1" s="146"/>
    </row>
    <row r="2" spans="1:9" ht="18.600000000000001" thickBot="1" x14ac:dyDescent="0.4">
      <c r="A2" s="74"/>
      <c r="B2" s="74"/>
      <c r="C2" s="74"/>
      <c r="D2" s="74"/>
      <c r="E2" s="74"/>
      <c r="F2" s="74"/>
      <c r="G2" s="74"/>
      <c r="H2" s="74"/>
      <c r="I2" s="74"/>
    </row>
    <row r="3" spans="1:9" ht="18.600000000000001" customHeight="1" thickBot="1" x14ac:dyDescent="0.4">
      <c r="A3" s="147" t="s">
        <v>172</v>
      </c>
      <c r="B3" s="148"/>
      <c r="C3" s="149"/>
      <c r="D3" s="74"/>
      <c r="E3" s="382" t="s">
        <v>188</v>
      </c>
      <c r="F3" s="382"/>
      <c r="G3" s="382"/>
      <c r="H3" s="382"/>
      <c r="I3" s="74"/>
    </row>
    <row r="4" spans="1:9" ht="36.75" customHeight="1" x14ac:dyDescent="0.35">
      <c r="A4" s="281" t="s">
        <v>81</v>
      </c>
      <c r="B4" s="282" t="s">
        <v>92</v>
      </c>
      <c r="C4" s="280" t="s">
        <v>138</v>
      </c>
      <c r="D4" s="74"/>
      <c r="E4" s="382"/>
      <c r="F4" s="382"/>
      <c r="G4" s="382"/>
      <c r="H4" s="382"/>
      <c r="I4" s="74"/>
    </row>
    <row r="5" spans="1:9" ht="18" x14ac:dyDescent="0.35">
      <c r="A5" s="12" t="s">
        <v>39</v>
      </c>
      <c r="B5" s="75">
        <f>SUMIFS(Input[Weight (lbs.)],Input[Disposal],"Landfill",Input[Alternative disposal],"Source reduction",Input[WARM category],A5)</f>
        <v>1.73</v>
      </c>
      <c r="C5" s="76">
        <f>B5*Input!D2/2000</f>
        <v>0.31572500000000003</v>
      </c>
      <c r="D5" s="74"/>
      <c r="E5" s="382"/>
      <c r="F5" s="382"/>
      <c r="G5" s="382"/>
      <c r="H5" s="382"/>
      <c r="I5" s="74"/>
    </row>
    <row r="6" spans="1:9" ht="18" x14ac:dyDescent="0.35">
      <c r="A6" s="12" t="s">
        <v>40</v>
      </c>
      <c r="B6" s="75">
        <f>SUMIFS(Input[Weight (lbs.)],Input[Disposal],"Landfill",Input[Alternative disposal],"Source reduction",Input[WARM category],A6)</f>
        <v>0</v>
      </c>
      <c r="C6" s="76">
        <f>B6*Input!D2/2000</f>
        <v>0</v>
      </c>
      <c r="D6" s="74"/>
      <c r="E6" s="382"/>
      <c r="F6" s="382"/>
      <c r="G6" s="382"/>
      <c r="H6" s="382"/>
      <c r="I6" s="74"/>
    </row>
    <row r="7" spans="1:9" ht="18" x14ac:dyDescent="0.35">
      <c r="A7" s="12" t="s">
        <v>7</v>
      </c>
      <c r="B7" s="75">
        <f>SUMIFS(Input[Weight (lbs.)],Input[Disposal],"Landfill",Input[Alternative disposal],"Source reduction",Input[WARM category],A7)</f>
        <v>0</v>
      </c>
      <c r="C7" s="76">
        <f>B7*Input!D2/2000</f>
        <v>0</v>
      </c>
      <c r="D7" s="74"/>
      <c r="E7" s="74"/>
      <c r="F7" s="74"/>
      <c r="G7" s="74"/>
      <c r="H7" s="74"/>
      <c r="I7" s="74"/>
    </row>
    <row r="8" spans="1:9" ht="18" x14ac:dyDescent="0.35">
      <c r="A8" s="12" t="s">
        <v>8</v>
      </c>
      <c r="B8" s="75">
        <f>SUMIFS(Input[Weight (lbs.)],Input[Disposal],"Landfill",Input[Alternative disposal],"Source reduction",Input[WARM category],A8)</f>
        <v>0</v>
      </c>
      <c r="C8" s="76">
        <f>B8*Input!D2/2000</f>
        <v>0</v>
      </c>
      <c r="D8" s="74"/>
      <c r="E8" s="74"/>
      <c r="F8" s="74"/>
      <c r="G8" s="74"/>
      <c r="H8" s="74"/>
      <c r="I8" s="74"/>
    </row>
    <row r="9" spans="1:9" ht="18" x14ac:dyDescent="0.35">
      <c r="A9" s="12" t="s">
        <v>41</v>
      </c>
      <c r="B9" s="75">
        <f>SUMIFS(Input[Weight (lbs.)],Input[Disposal],"Landfill",Input[Alternative disposal],"Source reduction",Input[WARM category],A9)</f>
        <v>0</v>
      </c>
      <c r="C9" s="76">
        <f>B9*Input!D2/2000</f>
        <v>0</v>
      </c>
      <c r="D9" s="74"/>
      <c r="E9" s="74"/>
      <c r="F9" s="74"/>
      <c r="G9" s="74"/>
      <c r="H9" s="74"/>
      <c r="I9" s="74"/>
    </row>
    <row r="10" spans="1:9" ht="18" x14ac:dyDescent="0.35">
      <c r="A10" s="12" t="s">
        <v>9</v>
      </c>
      <c r="B10" s="75">
        <f>SUMIFS(Input[Weight (lbs.)],Input[Disposal],"Landfill",Input[Alternative disposal],"Source reduction",Input[WARM category],A10)</f>
        <v>0</v>
      </c>
      <c r="C10" s="76">
        <f>B10*Input!D2/2000</f>
        <v>0</v>
      </c>
      <c r="D10" s="74"/>
      <c r="E10" s="74"/>
      <c r="F10" s="74"/>
      <c r="G10" s="74"/>
      <c r="H10" s="74"/>
      <c r="I10" s="74"/>
    </row>
    <row r="11" spans="1:9" ht="18" x14ac:dyDescent="0.35">
      <c r="A11" s="12" t="s">
        <v>42</v>
      </c>
      <c r="B11" s="75">
        <f>SUMIFS(Input[Weight (lbs.)],Input[Disposal],"Landfill",Input[Alternative disposal],"Source reduction",Input[WARM category],A11)</f>
        <v>0</v>
      </c>
      <c r="C11" s="76">
        <f>B11*Input!D2/2000</f>
        <v>0</v>
      </c>
      <c r="D11" s="74"/>
      <c r="E11" s="74"/>
      <c r="F11" s="74"/>
      <c r="G11" s="74"/>
      <c r="H11" s="74"/>
      <c r="I11" s="74"/>
    </row>
    <row r="12" spans="1:9" ht="18.600000000000001" thickBot="1" x14ac:dyDescent="0.4">
      <c r="A12" s="15" t="s">
        <v>43</v>
      </c>
      <c r="B12" s="75">
        <f>SUMIFS(Input[Weight (lbs.)],Input[Disposal],"Landfill",Input[Alternative disposal],"Source reduction",Input[WARM category],A12)</f>
        <v>0</v>
      </c>
      <c r="C12" s="76">
        <f>B12*Input!D2/2000</f>
        <v>0</v>
      </c>
      <c r="D12" s="74"/>
      <c r="E12" s="74"/>
      <c r="F12" s="74"/>
      <c r="G12" s="74"/>
      <c r="H12" s="74"/>
      <c r="I12" s="74"/>
    </row>
    <row r="13" spans="1:9" ht="18.600000000000001" thickBot="1" x14ac:dyDescent="0.4">
      <c r="A13" s="79" t="s">
        <v>102</v>
      </c>
      <c r="B13" s="80">
        <f>SUM(B5:B12)</f>
        <v>1.73</v>
      </c>
      <c r="C13" s="80">
        <f>SUM(C5:C12)</f>
        <v>0.31572500000000003</v>
      </c>
      <c r="D13" s="74"/>
      <c r="E13" s="74"/>
      <c r="F13" s="74"/>
      <c r="G13" s="74"/>
      <c r="H13" s="74"/>
      <c r="I13" s="74"/>
    </row>
    <row r="14" spans="1:9" ht="15.75" customHeight="1" thickBot="1" x14ac:dyDescent="0.35">
      <c r="C14"/>
      <c r="E14"/>
      <c r="G14"/>
    </row>
    <row r="15" spans="1:9" ht="15.75" customHeight="1" thickBot="1" x14ac:dyDescent="0.35">
      <c r="A15" s="147" t="s">
        <v>175</v>
      </c>
      <c r="B15" s="148"/>
      <c r="C15" s="148"/>
      <c r="D15" s="148"/>
      <c r="E15" s="149"/>
    </row>
    <row r="16" spans="1:9" ht="33" customHeight="1" x14ac:dyDescent="0.3">
      <c r="A16" s="281" t="s">
        <v>81</v>
      </c>
      <c r="B16" s="282" t="s">
        <v>92</v>
      </c>
      <c r="C16" s="280" t="s">
        <v>166</v>
      </c>
      <c r="D16" s="280" t="s">
        <v>137</v>
      </c>
      <c r="E16" s="280" t="s">
        <v>138</v>
      </c>
      <c r="G16"/>
      <c r="H16" s="1"/>
    </row>
    <row r="17" spans="1:7" ht="15.75" customHeight="1" x14ac:dyDescent="0.3">
      <c r="A17" s="12" t="s">
        <v>39</v>
      </c>
      <c r="B17" s="75">
        <f>SUMIFS(Input[Weight (lbs.)],Input[Disposal],"Landfill",Input[Alternative disposal],"Donation for people",Input[WARM category],A17)</f>
        <v>0</v>
      </c>
      <c r="C17" s="76">
        <f>B17*Input!D2/2000</f>
        <v>0</v>
      </c>
      <c r="D17" s="16">
        <v>20</v>
      </c>
      <c r="E17" s="77">
        <f>C17*(1-(D17/100))</f>
        <v>0</v>
      </c>
      <c r="G17"/>
    </row>
    <row r="18" spans="1:7" ht="15.75" customHeight="1" x14ac:dyDescent="0.3">
      <c r="A18" s="12" t="s">
        <v>40</v>
      </c>
      <c r="B18" s="75">
        <f>SUMIFS(Input[Weight (lbs.)],Input[Disposal],"Landfill",Input[Alternative disposal],"Donation for people",Input[WARM category],A18)</f>
        <v>0</v>
      </c>
      <c r="C18" s="76">
        <f>B18*Input!D2/2000</f>
        <v>0</v>
      </c>
      <c r="D18" s="16">
        <v>17</v>
      </c>
      <c r="E18" s="77">
        <f t="shared" ref="E18:E24" si="0">C18*(1-(D18/100))</f>
        <v>0</v>
      </c>
      <c r="G18"/>
    </row>
    <row r="19" spans="1:7" ht="15.75" customHeight="1" x14ac:dyDescent="0.3">
      <c r="A19" s="12" t="s">
        <v>7</v>
      </c>
      <c r="B19" s="75">
        <f>SUMIFS(Input[Weight (lbs.)],Input[Disposal],"Landfill",Input[Alternative disposal],"Donation for people",Input[WARM category],A19)</f>
        <v>0</v>
      </c>
      <c r="C19" s="76">
        <f>B19*Input!D2/2000</f>
        <v>0</v>
      </c>
      <c r="D19" s="16">
        <v>20</v>
      </c>
      <c r="E19" s="77">
        <f t="shared" si="0"/>
        <v>0</v>
      </c>
      <c r="G19"/>
    </row>
    <row r="20" spans="1:7" ht="15.75" customHeight="1" x14ac:dyDescent="0.3">
      <c r="A20" s="12" t="s">
        <v>8</v>
      </c>
      <c r="B20" s="75">
        <f>SUMIFS(Input[Weight (lbs.)],Input[Disposal],"Landfill",Input[Alternative disposal],"Donation for people",Input[WARM category],A20)</f>
        <v>0</v>
      </c>
      <c r="C20" s="76">
        <f>B20*Input!D2/2000</f>
        <v>0</v>
      </c>
      <c r="D20" s="16">
        <v>15</v>
      </c>
      <c r="E20" s="77">
        <f t="shared" si="0"/>
        <v>0</v>
      </c>
      <c r="G20"/>
    </row>
    <row r="21" spans="1:7" ht="15.75" customHeight="1" x14ac:dyDescent="0.3">
      <c r="A21" s="12" t="s">
        <v>41</v>
      </c>
      <c r="B21" s="75">
        <f>SUMIFS(Input[Weight (lbs.)],Input[Disposal],"Landfill",Input[Alternative disposal],"Donation for people",Input[WARM category],A21)</f>
        <v>0</v>
      </c>
      <c r="C21" s="76">
        <f>B21*Input!D2/2000</f>
        <v>0</v>
      </c>
      <c r="D21" s="16">
        <v>22</v>
      </c>
      <c r="E21" s="77">
        <f t="shared" si="0"/>
        <v>0</v>
      </c>
      <c r="G21"/>
    </row>
    <row r="22" spans="1:7" x14ac:dyDescent="0.3">
      <c r="A22" s="12" t="s">
        <v>9</v>
      </c>
      <c r="B22" s="75">
        <f>SUMIFS(Input[Weight (lbs.)],Input[Disposal],"Landfill",Input[Alternative disposal],"Donation for people",Input[WARM category],A22)</f>
        <v>0</v>
      </c>
      <c r="C22" s="76">
        <f>B22*Input!D2/2000</f>
        <v>0</v>
      </c>
      <c r="D22" s="16">
        <v>20</v>
      </c>
      <c r="E22" s="77">
        <f t="shared" si="0"/>
        <v>0</v>
      </c>
      <c r="G22"/>
    </row>
    <row r="23" spans="1:7" ht="15.75" customHeight="1" x14ac:dyDescent="0.3">
      <c r="A23" s="12" t="s">
        <v>42</v>
      </c>
      <c r="B23" s="75">
        <f>SUMIFS(Input[Weight (lbs.)],Input[Disposal],"Landfill",Input[Alternative disposal],"Donation for people",Input[WARM category],A23)</f>
        <v>0</v>
      </c>
      <c r="C23" s="76">
        <f>B23*Input!D2/2000</f>
        <v>0</v>
      </c>
      <c r="D23" s="16">
        <v>18</v>
      </c>
      <c r="E23" s="77">
        <f t="shared" si="0"/>
        <v>0</v>
      </c>
      <c r="G23"/>
    </row>
    <row r="24" spans="1:7" ht="15.75" customHeight="1" thickBot="1" x14ac:dyDescent="0.35">
      <c r="A24" s="15" t="s">
        <v>43</v>
      </c>
      <c r="B24" s="75">
        <f>SUMIFS(Input[Weight (lbs.)],Input[Disposal],"Landfill",Input[Alternative disposal],"Donation for people",Input[WARM category],A24)</f>
        <v>0</v>
      </c>
      <c r="C24" s="76">
        <f>B24*Input!D2/2000</f>
        <v>0</v>
      </c>
      <c r="D24" s="19">
        <v>23</v>
      </c>
      <c r="E24" s="78">
        <f t="shared" si="0"/>
        <v>0</v>
      </c>
      <c r="G24"/>
    </row>
    <row r="25" spans="1:7" ht="15.75" customHeight="1" thickBot="1" x14ac:dyDescent="0.35">
      <c r="A25" s="79" t="s">
        <v>102</v>
      </c>
      <c r="B25" s="80">
        <f>SUM(B17:B24)</f>
        <v>0</v>
      </c>
      <c r="C25" s="80">
        <f>SUM(C17:C24)</f>
        <v>0</v>
      </c>
      <c r="D25" s="81"/>
      <c r="E25" s="82">
        <f>SUBTOTAL(109,Diversion2[Estimated annual diversion (tons)])</f>
        <v>0</v>
      </c>
      <c r="G25"/>
    </row>
    <row r="26" spans="1:7" s="103" customFormat="1" ht="15.75" customHeight="1" x14ac:dyDescent="0.3">
      <c r="A26" s="109"/>
      <c r="B26" s="110"/>
      <c r="C26" s="110"/>
      <c r="D26" s="111"/>
      <c r="E26" s="110"/>
    </row>
    <row r="27" spans="1:7" ht="15.75" customHeight="1" thickBot="1" x14ac:dyDescent="0.35">
      <c r="A27" s="2"/>
      <c r="B27" s="22"/>
      <c r="C27" s="22"/>
      <c r="D27" s="22"/>
      <c r="E27" s="83"/>
      <c r="G27"/>
    </row>
    <row r="28" spans="1:7" ht="15.75" customHeight="1" thickBot="1" x14ac:dyDescent="0.35">
      <c r="A28" s="147" t="s">
        <v>176</v>
      </c>
      <c r="B28" s="148"/>
      <c r="C28" s="148"/>
      <c r="D28" s="148"/>
      <c r="E28" s="149"/>
      <c r="G28"/>
    </row>
    <row r="29" spans="1:7" ht="36" customHeight="1" x14ac:dyDescent="0.3">
      <c r="A29" s="281" t="s">
        <v>81</v>
      </c>
      <c r="B29" s="282" t="s">
        <v>92</v>
      </c>
      <c r="C29" s="280" t="s">
        <v>166</v>
      </c>
      <c r="D29" s="280" t="s">
        <v>137</v>
      </c>
      <c r="E29" s="280" t="s">
        <v>138</v>
      </c>
      <c r="G29"/>
    </row>
    <row r="30" spans="1:7" ht="15.75" customHeight="1" x14ac:dyDescent="0.3">
      <c r="A30" s="12" t="s">
        <v>39</v>
      </c>
      <c r="B30" s="75">
        <f>SUMIFS(Input[Weight (lbs.)],Input[Disposal],"Landfill",Input[Alternative disposal],"Donation for animals",Input[WARM category],A30)</f>
        <v>0</v>
      </c>
      <c r="C30" s="76">
        <f>B30*Input!D2/2000</f>
        <v>0</v>
      </c>
      <c r="D30" s="16">
        <v>20</v>
      </c>
      <c r="E30" s="77">
        <f>C30*(1-(D30/100))</f>
        <v>0</v>
      </c>
    </row>
    <row r="31" spans="1:7" ht="15.75" customHeight="1" x14ac:dyDescent="0.3">
      <c r="A31" s="12" t="s">
        <v>40</v>
      </c>
      <c r="B31" s="75">
        <f>SUMIFS(Input[Weight (lbs.)],Input[Disposal],"Landfill",Input[Alternative disposal],"Donation for animals",Input[WARM category],A31)</f>
        <v>0</v>
      </c>
      <c r="C31" s="76">
        <f>B31*Input!D2/2000</f>
        <v>0</v>
      </c>
      <c r="D31" s="16">
        <v>17</v>
      </c>
      <c r="E31" s="77">
        <f t="shared" ref="E31:E37" si="1">C31*(1-(D31/100))</f>
        <v>0</v>
      </c>
    </row>
    <row r="32" spans="1:7" ht="15.75" customHeight="1" x14ac:dyDescent="0.3">
      <c r="A32" s="12" t="s">
        <v>7</v>
      </c>
      <c r="B32" s="75">
        <f>SUMIFS(Input[Weight (lbs.)],Input[Disposal],"Landfill",Input[Alternative disposal],"Donation for animals",Input[WARM category],A32)</f>
        <v>0</v>
      </c>
      <c r="C32" s="76">
        <f>B32*Input!D2/2000</f>
        <v>0</v>
      </c>
      <c r="D32" s="16">
        <v>20</v>
      </c>
      <c r="E32" s="77">
        <f t="shared" si="1"/>
        <v>0</v>
      </c>
    </row>
    <row r="33" spans="1:8" ht="15.75" customHeight="1" x14ac:dyDescent="0.3">
      <c r="A33" s="12" t="s">
        <v>8</v>
      </c>
      <c r="B33" s="75">
        <f>SUMIFS(Input[Weight (lbs.)],Input[Disposal],"Landfill",Input[Alternative disposal],"Donation for animals",Input[WARM category],A33)</f>
        <v>0</v>
      </c>
      <c r="C33" s="76">
        <f>B33*Input!D2/2000</f>
        <v>0</v>
      </c>
      <c r="D33" s="16">
        <v>15</v>
      </c>
      <c r="E33" s="77">
        <f t="shared" si="1"/>
        <v>0</v>
      </c>
    </row>
    <row r="34" spans="1:8" ht="15.75" customHeight="1" x14ac:dyDescent="0.3">
      <c r="A34" s="12" t="s">
        <v>41</v>
      </c>
      <c r="B34" s="75">
        <f>SUMIFS(Input[Weight (lbs.)],Input[Disposal],"Landfill",Input[Alternative disposal],"Donation for animals",Input[WARM category],A34)</f>
        <v>0</v>
      </c>
      <c r="C34" s="76">
        <f>B34*Input!D2/2000</f>
        <v>0</v>
      </c>
      <c r="D34" s="16">
        <v>22</v>
      </c>
      <c r="E34" s="77">
        <f t="shared" si="1"/>
        <v>0</v>
      </c>
    </row>
    <row r="35" spans="1:8" ht="15.75" customHeight="1" x14ac:dyDescent="0.3">
      <c r="A35" s="12" t="s">
        <v>9</v>
      </c>
      <c r="B35" s="75">
        <f>SUMIFS(Input[Weight (lbs.)],Input[Disposal],"Landfill",Input[Alternative disposal],"Donation for animals",Input[WARM category],A35)</f>
        <v>0</v>
      </c>
      <c r="C35" s="76">
        <f>B35*Input!D2/2000</f>
        <v>0</v>
      </c>
      <c r="D35" s="16">
        <v>20</v>
      </c>
      <c r="E35" s="77">
        <f t="shared" si="1"/>
        <v>0</v>
      </c>
    </row>
    <row r="36" spans="1:8" ht="15.75" customHeight="1" x14ac:dyDescent="0.3">
      <c r="A36" s="12" t="s">
        <v>42</v>
      </c>
      <c r="B36" s="75">
        <f>SUMIFS(Input[Weight (lbs.)],Input[Disposal],"Landfill",Input[Alternative disposal],"Donation for animals",Input[WARM category],A36)</f>
        <v>0</v>
      </c>
      <c r="C36" s="76">
        <f>B36*Input!D2/2000</f>
        <v>0</v>
      </c>
      <c r="D36" s="16">
        <v>18</v>
      </c>
      <c r="E36" s="77">
        <f t="shared" si="1"/>
        <v>0</v>
      </c>
    </row>
    <row r="37" spans="1:8" ht="15.75" customHeight="1" thickBot="1" x14ac:dyDescent="0.35">
      <c r="A37" s="15" t="s">
        <v>43</v>
      </c>
      <c r="B37" s="75">
        <f>SUMIFS(Input[Weight (lbs.)],Input[Disposal],"Landfill",Input[Alternative disposal],"Donation for animals",Input[WARM category],A37)</f>
        <v>0</v>
      </c>
      <c r="C37" s="76">
        <f>B37*Input!D2/2000</f>
        <v>0</v>
      </c>
      <c r="D37" s="19">
        <v>23</v>
      </c>
      <c r="E37" s="78">
        <f t="shared" si="1"/>
        <v>0</v>
      </c>
    </row>
    <row r="38" spans="1:8" ht="15.75" customHeight="1" thickBot="1" x14ac:dyDescent="0.35">
      <c r="A38" s="79" t="s">
        <v>102</v>
      </c>
      <c r="B38" s="80">
        <f>SUM(B30:B37)</f>
        <v>0</v>
      </c>
      <c r="C38" s="80">
        <f>SUM(C30:C37)</f>
        <v>0</v>
      </c>
      <c r="D38" s="81"/>
      <c r="E38" s="82">
        <f>SUBTOTAL(109,Diversion3[Estimated annual diversion (tons)])</f>
        <v>0</v>
      </c>
    </row>
    <row r="39" spans="1:8" ht="15.75" customHeight="1" thickBot="1" x14ac:dyDescent="0.35"/>
    <row r="40" spans="1:8" ht="15" thickBot="1" x14ac:dyDescent="0.35">
      <c r="A40" s="147" t="s">
        <v>164</v>
      </c>
      <c r="B40" s="148"/>
      <c r="C40" s="149"/>
      <c r="D40"/>
      <c r="E40"/>
      <c r="F40" s="147" t="s">
        <v>165</v>
      </c>
      <c r="G40" s="148"/>
      <c r="H40" s="149"/>
    </row>
    <row r="41" spans="1:8" ht="36" customHeight="1" x14ac:dyDescent="0.3">
      <c r="A41" s="281" t="s">
        <v>81</v>
      </c>
      <c r="B41" s="282" t="s">
        <v>92</v>
      </c>
      <c r="C41" s="280" t="s">
        <v>138</v>
      </c>
      <c r="D41"/>
      <c r="E41"/>
      <c r="F41" s="281" t="s">
        <v>81</v>
      </c>
      <c r="G41" s="282" t="s">
        <v>92</v>
      </c>
      <c r="H41" s="280" t="s">
        <v>138</v>
      </c>
    </row>
    <row r="42" spans="1:8" ht="15.75" customHeight="1" x14ac:dyDescent="0.3">
      <c r="A42" s="12" t="s">
        <v>39</v>
      </c>
      <c r="B42" s="75">
        <f>SUMIFS(Input[Weight (lbs.)],Input[Disposal],"Landfill",Input[Alternative disposal],"Industrial use",Input[WARM category],A42)</f>
        <v>0</v>
      </c>
      <c r="C42" s="76">
        <f>B42*Input!D2/2000</f>
        <v>0</v>
      </c>
      <c r="D42"/>
      <c r="E42"/>
      <c r="F42" s="12" t="s">
        <v>39</v>
      </c>
      <c r="G42" s="75">
        <f>SUMIFS(Input[Weight (lbs.)],Input[Disposal],"Landfill",Input[Alternative disposal],"Composting",Input[WARM category],F42)</f>
        <v>0</v>
      </c>
      <c r="H42" s="76">
        <f>G42*Input!D2/2000</f>
        <v>0</v>
      </c>
    </row>
    <row r="43" spans="1:8" ht="15.75" customHeight="1" x14ac:dyDescent="0.3">
      <c r="A43" s="12" t="s">
        <v>40</v>
      </c>
      <c r="B43" s="75">
        <f>SUMIFS(Input[Weight (lbs.)],Input[Disposal],"Landfill",Input[Alternative disposal],"Industrial use",Input[WARM category],A43)</f>
        <v>0</v>
      </c>
      <c r="C43" s="76">
        <f>B43*Input!D2/2000</f>
        <v>0</v>
      </c>
      <c r="D43"/>
      <c r="E43"/>
      <c r="F43" s="12" t="s">
        <v>40</v>
      </c>
      <c r="G43" s="75">
        <f>SUMIFS(Input[Weight (lbs.)],Input[Disposal],"Landfill",Input[Alternative disposal],"Composting",Input[WARM category],F43)</f>
        <v>0</v>
      </c>
      <c r="H43" s="76">
        <f>G43*Input!D2/2000</f>
        <v>0</v>
      </c>
    </row>
    <row r="44" spans="1:8" ht="15.75" customHeight="1" x14ac:dyDescent="0.3">
      <c r="A44" s="12" t="s">
        <v>7</v>
      </c>
      <c r="B44" s="75">
        <f>SUMIFS(Input[Weight (lbs.)],Input[Disposal],"Landfill",Input[Alternative disposal],"Industrial use",Input[WARM category],A44)</f>
        <v>0</v>
      </c>
      <c r="C44" s="76">
        <f>B44*Input!D2/2000</f>
        <v>0</v>
      </c>
      <c r="D44"/>
      <c r="F44" s="12" t="s">
        <v>7</v>
      </c>
      <c r="G44" s="75">
        <f>SUMIFS(Input[Weight (lbs.)],Input[Disposal],"Landfill",Input[Alternative disposal],"Composting",Input[WARM category],F44)</f>
        <v>0</v>
      </c>
      <c r="H44" s="76">
        <f>G44*Input!D2/2000</f>
        <v>0</v>
      </c>
    </row>
    <row r="45" spans="1:8" ht="15.75" customHeight="1" x14ac:dyDescent="0.3">
      <c r="A45" s="12" t="s">
        <v>8</v>
      </c>
      <c r="B45" s="75">
        <f>SUMIFS(Input[Weight (lbs.)],Input[Disposal],"Landfill",Input[Alternative disposal],"Industrial use",Input[WARM category],A45)</f>
        <v>0</v>
      </c>
      <c r="C45" s="76">
        <f>B45*Input!D2/2000</f>
        <v>0</v>
      </c>
      <c r="D45"/>
      <c r="E45"/>
      <c r="F45" s="12" t="s">
        <v>8</v>
      </c>
      <c r="G45" s="75">
        <f>SUMIFS(Input[Weight (lbs.)],Input[Disposal],"Landfill",Input[Alternative disposal],"Composting",Input[WARM category],F45)</f>
        <v>0</v>
      </c>
      <c r="H45" s="76">
        <f>G45*Input!D2/2000</f>
        <v>0</v>
      </c>
    </row>
    <row r="46" spans="1:8" ht="15.75" customHeight="1" x14ac:dyDescent="0.3">
      <c r="A46" s="12" t="s">
        <v>41</v>
      </c>
      <c r="B46" s="75">
        <f>SUMIFS(Input[Weight (lbs.)],Input[Disposal],"Landfill",Input[Alternative disposal],"Industrial use",Input[WARM category],A46)</f>
        <v>0</v>
      </c>
      <c r="C46" s="76">
        <f>B46*Input!D2/2000</f>
        <v>0</v>
      </c>
      <c r="D46"/>
      <c r="E46"/>
      <c r="F46" s="12" t="s">
        <v>41</v>
      </c>
      <c r="G46" s="75">
        <f>SUMIFS(Input[Weight (lbs.)],Input[Disposal],"Landfill",Input[Alternative disposal],"Composting",Input[WARM category],F46)</f>
        <v>0</v>
      </c>
      <c r="H46" s="76">
        <f>G46*Input!D2/2000</f>
        <v>0</v>
      </c>
    </row>
    <row r="47" spans="1:8" ht="15.75" customHeight="1" x14ac:dyDescent="0.3">
      <c r="A47" s="12" t="s">
        <v>9</v>
      </c>
      <c r="B47" s="75">
        <f>SUMIFS(Input[Weight (lbs.)],Input[Disposal],"Landfill",Input[Alternative disposal],"Industrial use",Input[WARM category],A47)</f>
        <v>0</v>
      </c>
      <c r="C47" s="76">
        <f>B47*Input!D2/2000</f>
        <v>0</v>
      </c>
      <c r="D47"/>
      <c r="E47"/>
      <c r="F47" s="12" t="s">
        <v>9</v>
      </c>
      <c r="G47" s="75">
        <f>SUMIFS(Input[Weight (lbs.)],Input[Disposal],"Landfill",Input[Alternative disposal],"Composting",Input[WARM category],F47)</f>
        <v>0</v>
      </c>
      <c r="H47" s="76">
        <f>G47*Input!D2/2000</f>
        <v>0</v>
      </c>
    </row>
    <row r="48" spans="1:8" ht="15.75" customHeight="1" x14ac:dyDescent="0.3">
      <c r="A48" s="12" t="s">
        <v>42</v>
      </c>
      <c r="B48" s="75">
        <f>SUMIFS(Input[Weight (lbs.)],Input[Disposal],"Landfill",Input[Alternative disposal],"Industrial use",Input[WARM category],A48)</f>
        <v>0</v>
      </c>
      <c r="C48" s="76">
        <f>B48*Input!D2/2000</f>
        <v>0</v>
      </c>
      <c r="D48"/>
      <c r="E48"/>
      <c r="F48" s="12" t="s">
        <v>42</v>
      </c>
      <c r="G48" s="75">
        <f>SUMIFS(Input[Weight (lbs.)],Input[Disposal],"Landfill",Input[Alternative disposal],"Composting",Input[WARM category],F48)</f>
        <v>0</v>
      </c>
      <c r="H48" s="76">
        <f>G48*Input!D2/2000</f>
        <v>0</v>
      </c>
    </row>
    <row r="49" spans="1:8" ht="15.75" customHeight="1" thickBot="1" x14ac:dyDescent="0.35">
      <c r="A49" s="15" t="s">
        <v>43</v>
      </c>
      <c r="B49" s="75">
        <f>SUMIFS(Input[Weight (lbs.)],Input[Disposal],"Landfill",Input[Alternative disposal],"Industrial use",Input[WARM category],A49)</f>
        <v>0</v>
      </c>
      <c r="C49" s="76">
        <f>B49*Input!D2/2000</f>
        <v>0</v>
      </c>
      <c r="D49"/>
      <c r="E49"/>
      <c r="F49" s="15" t="s">
        <v>43</v>
      </c>
      <c r="G49" s="75">
        <f>SUMIFS(Input[Weight (lbs.)],Input[Disposal],"Landfill",Input[Alternative disposal],"Composting",Input[WARM category],F49)</f>
        <v>0</v>
      </c>
      <c r="H49" s="76">
        <f>G49*Input!D2/2000</f>
        <v>0</v>
      </c>
    </row>
    <row r="50" spans="1:8" ht="15.75" customHeight="1" thickBot="1" x14ac:dyDescent="0.35">
      <c r="A50" s="79" t="s">
        <v>102</v>
      </c>
      <c r="B50" s="80">
        <f>SUM(B42:B49)</f>
        <v>0</v>
      </c>
      <c r="C50" s="80">
        <f>SUM(C42:C49)</f>
        <v>0</v>
      </c>
      <c r="D50"/>
      <c r="E50"/>
      <c r="F50" s="79" t="s">
        <v>102</v>
      </c>
      <c r="G50" s="80">
        <f>SUM(G42:G49)</f>
        <v>0</v>
      </c>
      <c r="H50" s="80">
        <f>SUM(H42:H49)</f>
        <v>0</v>
      </c>
    </row>
    <row r="51" spans="1:8" s="103" customFormat="1" ht="15.75" customHeight="1" x14ac:dyDescent="0.3">
      <c r="A51" s="109"/>
      <c r="B51" s="110"/>
      <c r="C51" s="110"/>
    </row>
    <row r="52" spans="1:8" s="103" customFormat="1" ht="15.75" customHeight="1" x14ac:dyDescent="0.3">
      <c r="A52" s="109"/>
      <c r="B52" s="110"/>
      <c r="C52" s="110"/>
    </row>
    <row r="53" spans="1:8" s="103" customFormat="1" ht="15.75" customHeight="1" x14ac:dyDescent="0.3">
      <c r="A53" s="109"/>
      <c r="B53" s="110"/>
      <c r="C53" s="110"/>
    </row>
    <row r="54" spans="1:8" s="103" customFormat="1" ht="15.75" customHeight="1" x14ac:dyDescent="0.3">
      <c r="A54" s="109"/>
      <c r="B54" s="110"/>
      <c r="C54" s="110"/>
    </row>
    <row r="55" spans="1:8" s="103" customFormat="1" ht="15.75" customHeight="1" x14ac:dyDescent="0.3">
      <c r="A55" s="109"/>
      <c r="B55" s="110"/>
      <c r="C55" s="110"/>
    </row>
    <row r="56" spans="1:8" ht="15.75" customHeight="1" x14ac:dyDescent="0.3">
      <c r="C56"/>
      <c r="D56"/>
      <c r="E56"/>
      <c r="G56"/>
    </row>
    <row r="57" spans="1:8" ht="15.75" customHeight="1" x14ac:dyDescent="0.3">
      <c r="D57"/>
      <c r="E57"/>
      <c r="G57"/>
    </row>
    <row r="58" spans="1:8" ht="35.25" customHeight="1" x14ac:dyDescent="0.3">
      <c r="D58"/>
      <c r="E58"/>
      <c r="G58"/>
    </row>
    <row r="59" spans="1:8" ht="15.75" customHeight="1" x14ac:dyDescent="0.3">
      <c r="D59"/>
      <c r="E59"/>
      <c r="G59"/>
    </row>
    <row r="60" spans="1:8" ht="15.75" customHeight="1" x14ac:dyDescent="0.3">
      <c r="D60"/>
      <c r="E60"/>
      <c r="G60"/>
    </row>
    <row r="61" spans="1:8" ht="15.75" customHeight="1" x14ac:dyDescent="0.3">
      <c r="D61"/>
      <c r="E61"/>
      <c r="G61"/>
    </row>
    <row r="62" spans="1:8" ht="15.75" customHeight="1" x14ac:dyDescent="0.3">
      <c r="D62"/>
      <c r="E62"/>
      <c r="G62"/>
    </row>
    <row r="63" spans="1:8" ht="15.75" customHeight="1" x14ac:dyDescent="0.3">
      <c r="D63"/>
      <c r="E63"/>
      <c r="G63"/>
    </row>
    <row r="64" spans="1:8" ht="15.75" customHeight="1" x14ac:dyDescent="0.3">
      <c r="D64"/>
      <c r="E64"/>
      <c r="G64"/>
    </row>
    <row r="65" spans="3:7" ht="15.75" customHeight="1" x14ac:dyDescent="0.3">
      <c r="D65"/>
      <c r="E65"/>
      <c r="G65"/>
    </row>
    <row r="66" spans="3:7" x14ac:dyDescent="0.3">
      <c r="D66"/>
      <c r="E66"/>
      <c r="G66"/>
    </row>
    <row r="67" spans="3:7" x14ac:dyDescent="0.3">
      <c r="D67"/>
      <c r="E67"/>
      <c r="G67"/>
    </row>
    <row r="68" spans="3:7" x14ac:dyDescent="0.3">
      <c r="C68"/>
      <c r="D68"/>
      <c r="E68"/>
      <c r="G68"/>
    </row>
    <row r="69" spans="3:7" ht="15" customHeight="1" x14ac:dyDescent="0.3">
      <c r="C69"/>
      <c r="D69"/>
      <c r="E69"/>
      <c r="G69"/>
    </row>
    <row r="70" spans="3:7" ht="15" customHeight="1" x14ac:dyDescent="0.3">
      <c r="C70"/>
      <c r="D70"/>
      <c r="E70"/>
      <c r="G70"/>
    </row>
    <row r="71" spans="3:7" ht="15" customHeight="1" x14ac:dyDescent="0.3">
      <c r="C71"/>
      <c r="D71"/>
      <c r="E71"/>
      <c r="G71"/>
    </row>
    <row r="72" spans="3:7" ht="15" customHeight="1" x14ac:dyDescent="0.3">
      <c r="C72"/>
      <c r="D72"/>
      <c r="E72"/>
      <c r="G72"/>
    </row>
    <row r="73" spans="3:7" x14ac:dyDescent="0.3">
      <c r="C73"/>
      <c r="D73"/>
      <c r="E73"/>
      <c r="G73"/>
    </row>
  </sheetData>
  <mergeCells count="7">
    <mergeCell ref="A15:E15"/>
    <mergeCell ref="A28:E28"/>
    <mergeCell ref="A1:I1"/>
    <mergeCell ref="A40:C40"/>
    <mergeCell ref="F40:H40"/>
    <mergeCell ref="A3:C3"/>
    <mergeCell ref="E3:H6"/>
  </mergeCells>
  <pageMargins left="0.25" right="0.25" top="1.03125" bottom="0.75" header="0.3" footer="0.3"/>
  <pageSetup orientation="landscape" r:id="rId1"/>
  <headerFooter>
    <oddHeader>&amp;L&amp;G</oddHeader>
    <oddFooter>&amp;CDiversion estimates, page &amp;P of &amp;N</oddFooter>
  </headerFooter>
  <legacyDrawingHF r:id="rId2"/>
  <tableParts count="5">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0"/>
  <sheetViews>
    <sheetView view="pageLayout" zoomScale="130" zoomScaleNormal="100" zoomScalePageLayoutView="130" workbookViewId="0">
      <selection activeCell="F3" sqref="F3"/>
    </sheetView>
  </sheetViews>
  <sheetFormatPr defaultColWidth="9.109375" defaultRowHeight="14.4" x14ac:dyDescent="0.3"/>
  <cols>
    <col min="1" max="1" width="24.88671875" bestFit="1" customWidth="1"/>
    <col min="2" max="2" width="7.88671875" bestFit="1" customWidth="1"/>
    <col min="3" max="3" width="14" style="1" bestFit="1" customWidth="1"/>
    <col min="4" max="4" width="10.88671875" style="1" customWidth="1"/>
    <col min="5" max="5" width="21.5546875" style="1" bestFit="1" customWidth="1"/>
    <col min="6" max="6" width="11.88671875" bestFit="1" customWidth="1"/>
    <col min="7" max="7" width="18.44140625" style="1" customWidth="1"/>
    <col min="8" max="8" width="22.44140625" customWidth="1"/>
    <col min="9" max="9" width="11.5546875" customWidth="1"/>
    <col min="10" max="10" width="19.33203125" customWidth="1"/>
    <col min="11" max="11" width="10.33203125" customWidth="1"/>
    <col min="12" max="12" width="22.5546875" bestFit="1" customWidth="1"/>
    <col min="13" max="13" width="12.44140625" customWidth="1"/>
    <col min="14" max="14" width="9.88671875" customWidth="1"/>
    <col min="15" max="15" width="11.109375" customWidth="1"/>
    <col min="16" max="21" width="8.88671875" customWidth="1"/>
  </cols>
  <sheetData>
    <row r="1" spans="1:8" ht="18" x14ac:dyDescent="0.35">
      <c r="A1" s="146" t="s">
        <v>162</v>
      </c>
      <c r="B1" s="146"/>
      <c r="C1" s="146"/>
      <c r="D1" s="146"/>
      <c r="E1" s="146"/>
      <c r="F1" s="146"/>
      <c r="G1" s="146"/>
      <c r="H1" s="146"/>
    </row>
    <row r="2" spans="1:8" ht="18.600000000000001" thickBot="1" x14ac:dyDescent="0.4">
      <c r="A2" s="74"/>
      <c r="B2" s="74"/>
      <c r="C2" s="74"/>
      <c r="D2" s="74"/>
      <c r="E2" s="74"/>
      <c r="F2" s="74"/>
      <c r="G2" s="74"/>
      <c r="H2" s="74"/>
    </row>
    <row r="3" spans="1:8" ht="15.75" customHeight="1" thickBot="1" x14ac:dyDescent="0.35">
      <c r="A3" s="147" t="s">
        <v>139</v>
      </c>
      <c r="B3" s="148"/>
      <c r="C3" s="148"/>
      <c r="D3" s="149"/>
      <c r="G3"/>
    </row>
    <row r="4" spans="1:8" ht="29.4" thickBot="1" x14ac:dyDescent="0.35">
      <c r="A4" s="356" t="s">
        <v>140</v>
      </c>
      <c r="B4" s="357" t="s">
        <v>141</v>
      </c>
      <c r="C4" s="357" t="s">
        <v>142</v>
      </c>
      <c r="D4" s="358" t="s">
        <v>143</v>
      </c>
    </row>
    <row r="5" spans="1:8" ht="15.6" x14ac:dyDescent="0.3">
      <c r="A5" s="84" t="s">
        <v>144</v>
      </c>
      <c r="B5" s="85">
        <v>0.27</v>
      </c>
      <c r="C5" s="86">
        <v>0.97</v>
      </c>
      <c r="D5" s="87">
        <v>0.26190000000000002</v>
      </c>
      <c r="G5"/>
      <c r="H5" s="1"/>
    </row>
    <row r="6" spans="1:8" ht="15.75" customHeight="1" x14ac:dyDescent="0.3">
      <c r="A6" s="88" t="s">
        <v>145</v>
      </c>
      <c r="B6" s="89">
        <v>0.14000000000000001</v>
      </c>
      <c r="C6" s="90">
        <v>3.24</v>
      </c>
      <c r="D6" s="91">
        <v>0.45360000000000006</v>
      </c>
      <c r="G6"/>
    </row>
    <row r="7" spans="1:8" ht="15.75" customHeight="1" x14ac:dyDescent="0.3">
      <c r="A7" s="88" t="s">
        <v>146</v>
      </c>
      <c r="B7" s="89">
        <v>0.14000000000000001</v>
      </c>
      <c r="C7" s="90">
        <v>0.74</v>
      </c>
      <c r="D7" s="91">
        <v>0.10360000000000001</v>
      </c>
      <c r="G7"/>
    </row>
    <row r="8" spans="1:8" ht="15.75" customHeight="1" x14ac:dyDescent="0.3">
      <c r="A8" s="88" t="s">
        <v>147</v>
      </c>
      <c r="B8" s="89">
        <v>0.25</v>
      </c>
      <c r="C8" s="90">
        <v>0.74</v>
      </c>
      <c r="D8" s="91">
        <v>0.185</v>
      </c>
      <c r="G8"/>
    </row>
    <row r="9" spans="1:8" ht="15.75" customHeight="1" x14ac:dyDescent="0.3">
      <c r="A9" s="88" t="s">
        <v>148</v>
      </c>
      <c r="B9" s="89">
        <v>0.28499999999999998</v>
      </c>
      <c r="C9" s="90">
        <v>0.74</v>
      </c>
      <c r="D9" s="91">
        <v>0.21089999999999998</v>
      </c>
      <c r="G9"/>
    </row>
    <row r="10" spans="1:8" ht="15.75" customHeight="1" x14ac:dyDescent="0.3">
      <c r="A10" s="88" t="s">
        <v>149</v>
      </c>
      <c r="B10" s="89">
        <v>0.2</v>
      </c>
      <c r="C10" s="90">
        <v>3.24</v>
      </c>
      <c r="D10" s="91">
        <v>0.64800000000000013</v>
      </c>
      <c r="G10"/>
    </row>
    <row r="11" spans="1:8" ht="15.6" x14ac:dyDescent="0.3">
      <c r="A11" s="88" t="s">
        <v>151</v>
      </c>
      <c r="B11" s="89">
        <v>0.85499999999999998</v>
      </c>
      <c r="C11" s="90">
        <v>1.17</v>
      </c>
      <c r="D11" s="91">
        <v>1.0003499999999999</v>
      </c>
      <c r="G11"/>
    </row>
    <row r="12" spans="1:8" ht="15.75" customHeight="1" x14ac:dyDescent="0.3">
      <c r="A12" s="88" t="s">
        <v>152</v>
      </c>
      <c r="B12" s="89">
        <v>8.1000000000000003E-2</v>
      </c>
      <c r="C12" s="90">
        <v>3.24</v>
      </c>
      <c r="D12" s="91">
        <v>0.26244000000000001</v>
      </c>
      <c r="G12"/>
    </row>
    <row r="13" spans="1:8" ht="15.75" customHeight="1" x14ac:dyDescent="0.3">
      <c r="A13" s="88" t="s">
        <v>153</v>
      </c>
      <c r="B13" s="89">
        <v>8.1000000000000003E-2</v>
      </c>
      <c r="C13" s="90">
        <v>0.74</v>
      </c>
      <c r="D13" s="91">
        <v>5.994E-2</v>
      </c>
      <c r="G13"/>
    </row>
    <row r="14" spans="1:8" ht="15.75" customHeight="1" x14ac:dyDescent="0.3">
      <c r="A14" s="88" t="s">
        <v>150</v>
      </c>
      <c r="B14" s="89">
        <v>8.1000000000000003E-2</v>
      </c>
      <c r="C14" s="90">
        <v>1.17</v>
      </c>
      <c r="D14" s="91">
        <v>9.4769999999999993E-2</v>
      </c>
      <c r="G14"/>
    </row>
    <row r="15" spans="1:8" ht="15.75" customHeight="1" x14ac:dyDescent="0.3">
      <c r="A15" s="88" t="s">
        <v>154</v>
      </c>
      <c r="B15" s="89">
        <v>8.1000000000000003E-2</v>
      </c>
      <c r="C15" s="90">
        <v>0.97</v>
      </c>
      <c r="D15" s="91">
        <v>7.8570000000000001E-2</v>
      </c>
      <c r="G15"/>
    </row>
    <row r="16" spans="1:8" ht="15.75" customHeight="1" x14ac:dyDescent="0.3">
      <c r="A16" s="88" t="s">
        <v>150</v>
      </c>
      <c r="B16" s="89">
        <v>0.13500000000000001</v>
      </c>
      <c r="C16" s="90">
        <v>1.17</v>
      </c>
      <c r="D16" s="91">
        <v>0.15795000000000001</v>
      </c>
      <c r="G16"/>
    </row>
    <row r="17" spans="1:8" ht="15.6" x14ac:dyDescent="0.3">
      <c r="A17" s="88" t="s">
        <v>155</v>
      </c>
      <c r="B17" s="89">
        <v>0.13500000000000001</v>
      </c>
      <c r="C17" s="90">
        <v>0.74</v>
      </c>
      <c r="D17" s="91">
        <v>9.9900000000000003E-2</v>
      </c>
      <c r="G17"/>
    </row>
    <row r="18" spans="1:8" ht="15.75" customHeight="1" x14ac:dyDescent="0.3">
      <c r="A18" s="88" t="s">
        <v>156</v>
      </c>
      <c r="B18" s="89">
        <v>0.13500000000000001</v>
      </c>
      <c r="C18" s="90">
        <v>0.97</v>
      </c>
      <c r="D18" s="91">
        <v>0.13095000000000001</v>
      </c>
    </row>
    <row r="19" spans="1:8" ht="15.75" customHeight="1" x14ac:dyDescent="0.3">
      <c r="A19" s="88" t="s">
        <v>157</v>
      </c>
      <c r="B19" s="89">
        <v>5.5449999999999999</v>
      </c>
      <c r="C19" s="90">
        <v>0.74</v>
      </c>
      <c r="D19" s="91">
        <v>4.1032999999999999</v>
      </c>
    </row>
    <row r="20" spans="1:8" ht="15.75" customHeight="1" x14ac:dyDescent="0.3">
      <c r="A20" s="88" t="s">
        <v>148</v>
      </c>
      <c r="B20" s="89">
        <v>2.0499999999999998</v>
      </c>
      <c r="C20" s="90">
        <v>0.74</v>
      </c>
      <c r="D20" s="91">
        <v>1.5169999999999999</v>
      </c>
    </row>
    <row r="21" spans="1:8" ht="15.75" customHeight="1" x14ac:dyDescent="0.3">
      <c r="A21" s="92" t="s">
        <v>158</v>
      </c>
      <c r="B21" s="93">
        <v>2.665</v>
      </c>
      <c r="C21" s="94">
        <v>0.97</v>
      </c>
      <c r="D21" s="95">
        <v>2.5850499999999998</v>
      </c>
    </row>
    <row r="22" spans="1:8" ht="15.75" customHeight="1" x14ac:dyDescent="0.3">
      <c r="A22" s="96" t="s">
        <v>102</v>
      </c>
      <c r="B22" s="97">
        <f>SUM(B5:B21)</f>
        <v>13.128999999999998</v>
      </c>
      <c r="C22" s="98"/>
      <c r="D22" s="99">
        <f>SUM(D5:D21)</f>
        <v>11.953219999999998</v>
      </c>
    </row>
    <row r="23" spans="1:8" ht="15.75" customHeight="1" thickBot="1" x14ac:dyDescent="0.35">
      <c r="A23" s="66"/>
      <c r="B23" s="66"/>
      <c r="C23" s="66"/>
      <c r="D23" s="66"/>
    </row>
    <row r="24" spans="1:8" ht="15.75" customHeight="1" thickBot="1" x14ac:dyDescent="0.35">
      <c r="A24" s="159" t="s">
        <v>159</v>
      </c>
      <c r="B24" s="160"/>
      <c r="C24" s="161"/>
      <c r="D24" s="100">
        <f>D22*2*Input!D2</f>
        <v>8725.8505999999979</v>
      </c>
    </row>
    <row r="25" spans="1:8" ht="15.75" customHeight="1" x14ac:dyDescent="0.3">
      <c r="A25" s="150" t="s">
        <v>160</v>
      </c>
      <c r="B25" s="151"/>
      <c r="C25" s="151"/>
      <c r="D25" s="151"/>
      <c r="E25" s="151"/>
      <c r="F25" s="151"/>
      <c r="G25" s="151"/>
      <c r="H25" s="152"/>
    </row>
    <row r="26" spans="1:8" ht="15.75" customHeight="1" x14ac:dyDescent="0.3">
      <c r="A26" s="153"/>
      <c r="B26" s="154"/>
      <c r="C26" s="154"/>
      <c r="D26" s="154"/>
      <c r="E26" s="154"/>
      <c r="F26" s="154"/>
      <c r="G26" s="154"/>
      <c r="H26" s="155"/>
    </row>
    <row r="27" spans="1:8" ht="15.75" customHeight="1" x14ac:dyDescent="0.3">
      <c r="A27" s="153"/>
      <c r="B27" s="154"/>
      <c r="C27" s="154"/>
      <c r="D27" s="154"/>
      <c r="E27" s="154"/>
      <c r="F27" s="154"/>
      <c r="G27" s="154"/>
      <c r="H27" s="155"/>
    </row>
    <row r="28" spans="1:8" ht="15.75" customHeight="1" thickBot="1" x14ac:dyDescent="0.35">
      <c r="A28" s="156" t="s">
        <v>161</v>
      </c>
      <c r="B28" s="157"/>
      <c r="C28" s="157"/>
      <c r="D28" s="157"/>
      <c r="E28" s="157"/>
      <c r="F28" s="157"/>
      <c r="G28" s="157"/>
      <c r="H28" s="158"/>
    </row>
    <row r="29" spans="1:8" ht="15.75" customHeight="1" x14ac:dyDescent="0.3">
      <c r="E29" s="102"/>
      <c r="F29" s="102"/>
      <c r="G29" s="102"/>
      <c r="H29" s="102"/>
    </row>
    <row r="30" spans="1:8" ht="15.75" customHeight="1" x14ac:dyDescent="0.3">
      <c r="E30" s="103"/>
      <c r="F30" s="104"/>
      <c r="G30" s="103"/>
    </row>
    <row r="31" spans="1:8" ht="33" customHeight="1" x14ac:dyDescent="0.3">
      <c r="E31"/>
      <c r="F31" s="1"/>
      <c r="G31"/>
    </row>
    <row r="32" spans="1:8" ht="15.75" customHeight="1" x14ac:dyDescent="0.3">
      <c r="E32"/>
      <c r="F32" s="1"/>
      <c r="G32"/>
    </row>
    <row r="33" spans="1:8" ht="15.75" customHeight="1" x14ac:dyDescent="0.3">
      <c r="E33"/>
      <c r="F33" s="1"/>
      <c r="G33"/>
    </row>
    <row r="34" spans="1:8" s="1" customFormat="1" ht="15.75" customHeight="1" x14ac:dyDescent="0.3">
      <c r="A34"/>
      <c r="B34"/>
      <c r="F34"/>
      <c r="H34"/>
    </row>
    <row r="35" spans="1:8" s="1" customFormat="1" ht="15.75" customHeight="1" x14ac:dyDescent="0.3">
      <c r="A35"/>
      <c r="B35"/>
      <c r="F35"/>
      <c r="H35"/>
    </row>
    <row r="36" spans="1:8" s="1" customFormat="1" ht="15.75" customHeight="1" x14ac:dyDescent="0.3">
      <c r="A36"/>
      <c r="B36"/>
      <c r="F36"/>
      <c r="H36"/>
    </row>
    <row r="37" spans="1:8" s="1" customFormat="1" ht="15.75" customHeight="1" x14ac:dyDescent="0.3">
      <c r="A37"/>
      <c r="B37"/>
      <c r="F37"/>
      <c r="H37"/>
    </row>
    <row r="38" spans="1:8" s="1" customFormat="1" ht="15.75" customHeight="1" x14ac:dyDescent="0.3">
      <c r="A38"/>
      <c r="B38"/>
      <c r="F38"/>
      <c r="H38"/>
    </row>
    <row r="39" spans="1:8" s="1" customFormat="1" ht="15.75" customHeight="1" x14ac:dyDescent="0.3">
      <c r="A39"/>
      <c r="B39"/>
      <c r="F39"/>
      <c r="H39"/>
    </row>
    <row r="40" spans="1:8" s="1" customFormat="1" ht="15.75" customHeight="1" x14ac:dyDescent="0.3">
      <c r="A40"/>
      <c r="B40"/>
      <c r="F40"/>
      <c r="H40"/>
    </row>
    <row r="41" spans="1:8" s="1" customFormat="1" ht="15.75" customHeight="1" x14ac:dyDescent="0.3">
      <c r="A41"/>
      <c r="B41"/>
      <c r="F41"/>
      <c r="H41"/>
    </row>
    <row r="42" spans="1:8" s="1" customFormat="1" ht="15.75" customHeight="1" x14ac:dyDescent="0.3">
      <c r="A42"/>
      <c r="B42"/>
      <c r="F42"/>
      <c r="H42"/>
    </row>
    <row r="43" spans="1:8" s="1" customFormat="1" ht="15.75" customHeight="1" x14ac:dyDescent="0.3">
      <c r="A43"/>
      <c r="B43"/>
      <c r="F43"/>
      <c r="H43"/>
    </row>
    <row r="44" spans="1:8" s="1" customFormat="1" ht="15.75" customHeight="1" x14ac:dyDescent="0.3">
      <c r="A44"/>
      <c r="B44"/>
      <c r="F44"/>
      <c r="H44"/>
    </row>
    <row r="45" spans="1:8" s="1" customFormat="1" ht="15.75" customHeight="1" x14ac:dyDescent="0.3">
      <c r="A45"/>
      <c r="B45"/>
      <c r="F45"/>
      <c r="H45"/>
    </row>
    <row r="46" spans="1:8" s="1" customFormat="1" ht="15.75" customHeight="1" x14ac:dyDescent="0.3">
      <c r="A46"/>
      <c r="B46"/>
      <c r="F46"/>
      <c r="H46"/>
    </row>
    <row r="47" spans="1:8" s="1" customFormat="1" ht="15.75" customHeight="1" x14ac:dyDescent="0.3">
      <c r="A47"/>
      <c r="B47"/>
      <c r="F47"/>
      <c r="H47"/>
    </row>
    <row r="48" spans="1:8" s="1" customFormat="1" ht="15.75" customHeight="1" x14ac:dyDescent="0.3">
      <c r="A48"/>
      <c r="B48"/>
      <c r="F48"/>
      <c r="H48"/>
    </row>
    <row r="49" spans="1:8" s="1" customFormat="1" ht="15.75" customHeight="1" x14ac:dyDescent="0.3">
      <c r="A49"/>
      <c r="B49"/>
      <c r="F49"/>
      <c r="H49"/>
    </row>
    <row r="50" spans="1:8" ht="15.75" customHeight="1" x14ac:dyDescent="0.3"/>
    <row r="51" spans="1:8" ht="15.75" customHeight="1" x14ac:dyDescent="0.3"/>
    <row r="53" spans="1:8" x14ac:dyDescent="0.3">
      <c r="E53"/>
      <c r="G53"/>
    </row>
    <row r="54" spans="1:8" x14ac:dyDescent="0.3">
      <c r="E54"/>
      <c r="G54"/>
    </row>
    <row r="55" spans="1:8" ht="15" customHeight="1" x14ac:dyDescent="0.3">
      <c r="E55"/>
      <c r="G55"/>
    </row>
    <row r="56" spans="1:8" ht="15" customHeight="1" x14ac:dyDescent="0.3">
      <c r="E56"/>
      <c r="G56"/>
    </row>
    <row r="57" spans="1:8" ht="15" customHeight="1" x14ac:dyDescent="0.3">
      <c r="E57"/>
      <c r="G57"/>
    </row>
    <row r="58" spans="1:8" ht="15" customHeight="1" x14ac:dyDescent="0.3">
      <c r="E58"/>
      <c r="G58"/>
    </row>
    <row r="59" spans="1:8" x14ac:dyDescent="0.3">
      <c r="E59"/>
      <c r="G59"/>
    </row>
    <row r="60" spans="1:8" x14ac:dyDescent="0.3">
      <c r="E60"/>
      <c r="G60"/>
    </row>
  </sheetData>
  <mergeCells count="5">
    <mergeCell ref="A25:H27"/>
    <mergeCell ref="A28:H28"/>
    <mergeCell ref="A1:H1"/>
    <mergeCell ref="A3:D3"/>
    <mergeCell ref="A24:C24"/>
  </mergeCells>
  <hyperlinks>
    <hyperlink ref="A28" r:id="rId1" xr:uid="{00000000-0004-0000-0400-000000000000}"/>
  </hyperlinks>
  <pageMargins left="0.25" right="0.25" top="1.03125" bottom="0.75" header="0.3" footer="0.3"/>
  <pageSetup orientation="landscape" r:id="rId2"/>
  <headerFooter>
    <oddHeader>&amp;L&amp;G</oddHeader>
    <oddFooter>&amp;CTax incentives, page &amp;P of &amp;N</oddFooter>
  </headerFooter>
  <legacyDrawingHF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5"/>
  <sheetViews>
    <sheetView view="pageLayout" zoomScale="130" zoomScaleNormal="100" zoomScalePageLayoutView="130" workbookViewId="0">
      <selection activeCell="I3" sqref="I3"/>
    </sheetView>
  </sheetViews>
  <sheetFormatPr defaultColWidth="9.109375" defaultRowHeight="14.4" x14ac:dyDescent="0.3"/>
  <cols>
    <col min="1" max="1" width="9.88671875" customWidth="1"/>
    <col min="2" max="2" width="8.88671875" customWidth="1"/>
    <col min="3" max="3" width="11.21875" customWidth="1"/>
    <col min="4" max="6" width="8.88671875" customWidth="1"/>
    <col min="7" max="7" width="6" customWidth="1"/>
    <col min="8" max="12" width="8.88671875" customWidth="1"/>
    <col min="13" max="13" width="7.33203125" customWidth="1"/>
    <col min="14" max="14" width="8.88671875" customWidth="1"/>
    <col min="15" max="15" width="9.88671875" customWidth="1"/>
  </cols>
  <sheetData>
    <row r="1" spans="1:15" ht="18" x14ac:dyDescent="0.35">
      <c r="A1" s="146" t="s">
        <v>106</v>
      </c>
      <c r="B1" s="146"/>
      <c r="C1" s="146"/>
      <c r="D1" s="146"/>
      <c r="E1" s="146"/>
      <c r="F1" s="146"/>
      <c r="G1" s="146"/>
      <c r="H1" s="146"/>
      <c r="I1" s="146"/>
      <c r="J1" s="146"/>
      <c r="K1" s="146"/>
      <c r="L1" s="146"/>
      <c r="M1" s="146"/>
      <c r="N1" s="146"/>
      <c r="O1" s="146"/>
    </row>
    <row r="2" spans="1:15" ht="15" thickBot="1" x14ac:dyDescent="0.35">
      <c r="A2" s="11"/>
      <c r="B2" s="11"/>
      <c r="C2" s="11"/>
      <c r="D2" s="11"/>
      <c r="E2" s="11"/>
      <c r="F2" s="11"/>
      <c r="G2" s="11"/>
      <c r="H2" s="11"/>
      <c r="I2" s="11"/>
      <c r="J2" s="11"/>
      <c r="K2" s="11"/>
      <c r="L2" s="11"/>
      <c r="M2" s="11"/>
      <c r="N2" s="11"/>
      <c r="O2" s="11"/>
    </row>
    <row r="3" spans="1:15" ht="15" thickBot="1" x14ac:dyDescent="0.35">
      <c r="A3" s="173" t="s">
        <v>101</v>
      </c>
      <c r="B3" s="174"/>
      <c r="C3" s="174"/>
      <c r="D3" s="174"/>
      <c r="E3" s="174"/>
      <c r="F3" s="174"/>
      <c r="G3" s="175"/>
      <c r="H3" s="11"/>
      <c r="I3" s="11"/>
      <c r="J3" s="11"/>
      <c r="K3" s="11"/>
      <c r="L3" s="11"/>
      <c r="M3" s="11"/>
      <c r="N3" s="11"/>
      <c r="O3" s="11"/>
    </row>
    <row r="4" spans="1:15" ht="15" thickBot="1" x14ac:dyDescent="0.35">
      <c r="A4" s="170" t="s">
        <v>89</v>
      </c>
      <c r="B4" s="171"/>
      <c r="C4" s="171" t="s">
        <v>17</v>
      </c>
      <c r="D4" s="171"/>
      <c r="E4" s="171"/>
      <c r="F4" s="171"/>
      <c r="G4" s="172"/>
      <c r="H4" s="11"/>
      <c r="I4" s="11"/>
      <c r="J4" s="11"/>
      <c r="K4" s="11"/>
      <c r="L4" s="11"/>
      <c r="M4" s="11"/>
      <c r="N4" s="11"/>
      <c r="O4" s="11"/>
    </row>
    <row r="5" spans="1:15" ht="15" thickBot="1" x14ac:dyDescent="0.35">
      <c r="A5" s="196" t="s">
        <v>87</v>
      </c>
      <c r="B5" s="197"/>
      <c r="C5" s="179" t="s">
        <v>94</v>
      </c>
      <c r="D5" s="179"/>
      <c r="E5" s="179"/>
      <c r="F5" s="179"/>
      <c r="G5" s="180"/>
      <c r="H5" s="11"/>
      <c r="I5" s="11"/>
      <c r="J5" s="11"/>
      <c r="K5" s="11"/>
      <c r="L5" s="11"/>
      <c r="M5" s="11"/>
      <c r="N5" s="11"/>
      <c r="O5" s="11"/>
    </row>
    <row r="6" spans="1:15" ht="15" customHeight="1" x14ac:dyDescent="0.3">
      <c r="A6" s="185" t="s">
        <v>88</v>
      </c>
      <c r="B6" s="186"/>
      <c r="C6" s="181" t="s">
        <v>95</v>
      </c>
      <c r="D6" s="181"/>
      <c r="E6" s="181"/>
      <c r="F6" s="181"/>
      <c r="G6" s="182"/>
      <c r="H6" s="11"/>
      <c r="I6" s="369" t="s">
        <v>78</v>
      </c>
      <c r="J6" s="370"/>
      <c r="K6" s="370"/>
      <c r="L6" s="370"/>
      <c r="M6" s="370"/>
      <c r="N6" s="370"/>
      <c r="O6" s="371"/>
    </row>
    <row r="7" spans="1:15" x14ac:dyDescent="0.3">
      <c r="A7" s="185" t="s">
        <v>36</v>
      </c>
      <c r="B7" s="186"/>
      <c r="C7" s="181" t="s">
        <v>90</v>
      </c>
      <c r="D7" s="181"/>
      <c r="E7" s="181"/>
      <c r="F7" s="181"/>
      <c r="G7" s="182"/>
      <c r="H7" s="11"/>
      <c r="I7" s="372"/>
      <c r="J7" s="373"/>
      <c r="K7" s="373"/>
      <c r="L7" s="373"/>
      <c r="M7" s="373"/>
      <c r="N7" s="373"/>
      <c r="O7" s="374"/>
    </row>
    <row r="8" spans="1:15" ht="15" thickBot="1" x14ac:dyDescent="0.35">
      <c r="A8" s="185" t="s">
        <v>92</v>
      </c>
      <c r="B8" s="186"/>
      <c r="C8" s="181" t="s">
        <v>91</v>
      </c>
      <c r="D8" s="181"/>
      <c r="E8" s="181"/>
      <c r="F8" s="181"/>
      <c r="G8" s="182"/>
      <c r="H8" s="11"/>
      <c r="I8" s="375"/>
      <c r="J8" s="376"/>
      <c r="K8" s="376"/>
      <c r="L8" s="376"/>
      <c r="M8" s="376"/>
      <c r="N8" s="376"/>
      <c r="O8" s="377"/>
    </row>
    <row r="9" spans="1:15" ht="15" thickBot="1" x14ac:dyDescent="0.35">
      <c r="A9" s="185" t="s">
        <v>93</v>
      </c>
      <c r="B9" s="186"/>
      <c r="C9" s="181" t="s">
        <v>96</v>
      </c>
      <c r="D9" s="181"/>
      <c r="E9" s="181"/>
      <c r="F9" s="181"/>
      <c r="G9" s="182"/>
      <c r="H9" s="11"/>
      <c r="I9" s="263" t="s">
        <v>19</v>
      </c>
      <c r="J9" s="250"/>
      <c r="K9" s="264"/>
      <c r="L9" s="249" t="s">
        <v>76</v>
      </c>
      <c r="M9" s="264"/>
      <c r="N9" s="249" t="s">
        <v>77</v>
      </c>
      <c r="O9" s="251"/>
    </row>
    <row r="10" spans="1:15" x14ac:dyDescent="0.3">
      <c r="A10" s="185" t="s">
        <v>136</v>
      </c>
      <c r="B10" s="186"/>
      <c r="C10" s="181" t="s">
        <v>97</v>
      </c>
      <c r="D10" s="181"/>
      <c r="E10" s="181"/>
      <c r="F10" s="181"/>
      <c r="G10" s="182"/>
      <c r="H10" s="11"/>
      <c r="I10" s="366" t="s">
        <v>3</v>
      </c>
      <c r="J10" s="367"/>
      <c r="K10" s="368"/>
      <c r="L10" s="364">
        <v>1.21</v>
      </c>
      <c r="M10" s="365"/>
      <c r="N10" s="364">
        <v>0.97</v>
      </c>
      <c r="O10" s="381"/>
    </row>
    <row r="11" spans="1:15" x14ac:dyDescent="0.3">
      <c r="A11" s="185" t="s">
        <v>37</v>
      </c>
      <c r="B11" s="186"/>
      <c r="C11" s="181" t="s">
        <v>98</v>
      </c>
      <c r="D11" s="181"/>
      <c r="E11" s="181"/>
      <c r="F11" s="181"/>
      <c r="G11" s="182"/>
      <c r="H11" s="11"/>
      <c r="I11" s="378" t="s">
        <v>1</v>
      </c>
      <c r="J11" s="379"/>
      <c r="K11" s="380"/>
      <c r="L11" s="361">
        <v>5.73</v>
      </c>
      <c r="M11" s="363"/>
      <c r="N11" s="361">
        <v>3.24</v>
      </c>
      <c r="O11" s="362"/>
    </row>
    <row r="12" spans="1:15" x14ac:dyDescent="0.3">
      <c r="A12" s="185" t="s">
        <v>81</v>
      </c>
      <c r="B12" s="186"/>
      <c r="C12" s="181" t="s">
        <v>99</v>
      </c>
      <c r="D12" s="181"/>
      <c r="E12" s="181"/>
      <c r="F12" s="181"/>
      <c r="G12" s="182"/>
      <c r="H12" s="11"/>
      <c r="I12" s="168" t="s">
        <v>4</v>
      </c>
      <c r="J12" s="169"/>
      <c r="K12" s="169"/>
      <c r="L12" s="166">
        <v>1.51</v>
      </c>
      <c r="M12" s="166"/>
      <c r="N12" s="166">
        <v>0.74</v>
      </c>
      <c r="O12" s="167"/>
    </row>
    <row r="13" spans="1:15" x14ac:dyDescent="0.3">
      <c r="A13" s="185" t="s">
        <v>38</v>
      </c>
      <c r="B13" s="186"/>
      <c r="C13" s="181" t="s">
        <v>100</v>
      </c>
      <c r="D13" s="181"/>
      <c r="E13" s="181"/>
      <c r="F13" s="181"/>
      <c r="G13" s="182"/>
      <c r="H13" s="11"/>
      <c r="I13" s="168" t="s">
        <v>5</v>
      </c>
      <c r="J13" s="169"/>
      <c r="K13" s="169"/>
      <c r="L13" s="166">
        <v>8.0399999999999991</v>
      </c>
      <c r="M13" s="166"/>
      <c r="N13" s="166">
        <v>4.88</v>
      </c>
      <c r="O13" s="167"/>
    </row>
    <row r="14" spans="1:15" ht="15" thickBot="1" x14ac:dyDescent="0.35">
      <c r="A14" s="359" t="s">
        <v>61</v>
      </c>
      <c r="B14" s="360"/>
      <c r="C14" s="181" t="s">
        <v>186</v>
      </c>
      <c r="D14" s="181"/>
      <c r="E14" s="181"/>
      <c r="F14" s="181"/>
      <c r="G14" s="182"/>
      <c r="H14" s="10"/>
      <c r="I14" s="162" t="s">
        <v>6</v>
      </c>
      <c r="J14" s="163"/>
      <c r="K14" s="163"/>
      <c r="L14" s="164">
        <v>1.21</v>
      </c>
      <c r="M14" s="164"/>
      <c r="N14" s="164">
        <v>1.17</v>
      </c>
      <c r="O14" s="165"/>
    </row>
    <row r="15" spans="1:15" ht="15" thickBot="1" x14ac:dyDescent="0.35">
      <c r="A15" s="241" t="s">
        <v>122</v>
      </c>
      <c r="B15" s="242"/>
      <c r="C15" s="183" t="s">
        <v>187</v>
      </c>
      <c r="D15" s="183"/>
      <c r="E15" s="183"/>
      <c r="F15" s="183"/>
      <c r="G15" s="184"/>
      <c r="H15" s="10"/>
      <c r="I15" s="4"/>
      <c r="J15" s="4"/>
      <c r="K15" s="4"/>
      <c r="L15" s="23"/>
      <c r="M15" s="23"/>
      <c r="N15" s="23"/>
      <c r="O15" s="23"/>
    </row>
    <row r="16" spans="1:15" ht="15" thickBot="1" x14ac:dyDescent="0.35">
      <c r="A16" s="10"/>
      <c r="B16" s="10"/>
      <c r="C16" s="10"/>
      <c r="D16" s="10"/>
      <c r="E16" s="10"/>
      <c r="F16" s="10"/>
      <c r="G16" s="10"/>
      <c r="H16" s="10"/>
      <c r="I16" s="10"/>
      <c r="J16" s="10"/>
      <c r="K16" s="10"/>
      <c r="L16" s="10"/>
      <c r="M16" s="10"/>
      <c r="N16" s="10"/>
      <c r="O16" s="10"/>
    </row>
    <row r="17" spans="1:15" ht="15.75" customHeight="1" thickBot="1" x14ac:dyDescent="0.35">
      <c r="A17" s="176" t="s">
        <v>85</v>
      </c>
      <c r="B17" s="177"/>
      <c r="C17" s="177"/>
      <c r="D17" s="177"/>
      <c r="E17" s="177"/>
      <c r="F17" s="177"/>
      <c r="G17" s="177"/>
      <c r="H17" s="177"/>
      <c r="I17" s="177"/>
      <c r="J17" s="177"/>
      <c r="K17" s="177"/>
      <c r="L17" s="177"/>
      <c r="M17" s="177"/>
      <c r="N17" s="177"/>
      <c r="O17" s="178"/>
    </row>
    <row r="18" spans="1:15" ht="15.75" customHeight="1" thickBot="1" x14ac:dyDescent="0.35">
      <c r="A18" s="28" t="s">
        <v>10</v>
      </c>
      <c r="B18" s="29" t="s">
        <v>28</v>
      </c>
      <c r="C18" s="249" t="s">
        <v>21</v>
      </c>
      <c r="D18" s="250"/>
      <c r="E18" s="250"/>
      <c r="F18" s="250"/>
      <c r="G18" s="250"/>
      <c r="H18" s="250"/>
      <c r="I18" s="250"/>
      <c r="J18" s="250"/>
      <c r="K18" s="250"/>
      <c r="L18" s="250"/>
      <c r="M18" s="250"/>
      <c r="N18" s="250"/>
      <c r="O18" s="251"/>
    </row>
    <row r="19" spans="1:15" ht="15" customHeight="1" x14ac:dyDescent="0.3">
      <c r="A19" s="33" t="s">
        <v>44</v>
      </c>
      <c r="B19" s="34" t="s">
        <v>27</v>
      </c>
      <c r="C19" s="223" t="s">
        <v>48</v>
      </c>
      <c r="D19" s="224"/>
      <c r="E19" s="224"/>
      <c r="F19" s="224"/>
      <c r="G19" s="224"/>
      <c r="H19" s="224"/>
      <c r="I19" s="224"/>
      <c r="J19" s="224"/>
      <c r="K19" s="224"/>
      <c r="L19" s="224"/>
      <c r="M19" s="224"/>
      <c r="N19" s="224"/>
      <c r="O19" s="225"/>
    </row>
    <row r="20" spans="1:15" ht="30.75" customHeight="1" x14ac:dyDescent="0.3">
      <c r="A20" s="35" t="s">
        <v>45</v>
      </c>
      <c r="B20" s="30" t="s">
        <v>29</v>
      </c>
      <c r="C20" s="243" t="s">
        <v>18</v>
      </c>
      <c r="D20" s="244"/>
      <c r="E20" s="244"/>
      <c r="F20" s="244"/>
      <c r="G20" s="244"/>
      <c r="H20" s="244"/>
      <c r="I20" s="244"/>
      <c r="J20" s="244"/>
      <c r="K20" s="244"/>
      <c r="L20" s="244"/>
      <c r="M20" s="244"/>
      <c r="N20" s="244"/>
      <c r="O20" s="245"/>
    </row>
    <row r="21" spans="1:15" ht="60" customHeight="1" x14ac:dyDescent="0.3">
      <c r="A21" s="36" t="s">
        <v>46</v>
      </c>
      <c r="B21" s="30" t="s">
        <v>30</v>
      </c>
      <c r="C21" s="246" t="s">
        <v>32</v>
      </c>
      <c r="D21" s="247"/>
      <c r="E21" s="247"/>
      <c r="F21" s="247"/>
      <c r="G21" s="247"/>
      <c r="H21" s="247"/>
      <c r="I21" s="247"/>
      <c r="J21" s="247"/>
      <c r="K21" s="247"/>
      <c r="L21" s="247"/>
      <c r="M21" s="247"/>
      <c r="N21" s="247"/>
      <c r="O21" s="248"/>
    </row>
    <row r="22" spans="1:15" ht="15" customHeight="1" thickBot="1" x14ac:dyDescent="0.35">
      <c r="A22" s="37" t="s">
        <v>47</v>
      </c>
      <c r="B22" s="6" t="s">
        <v>31</v>
      </c>
      <c r="C22" s="226" t="s">
        <v>49</v>
      </c>
      <c r="D22" s="227"/>
      <c r="E22" s="227"/>
      <c r="F22" s="227"/>
      <c r="G22" s="227"/>
      <c r="H22" s="227"/>
      <c r="I22" s="227"/>
      <c r="J22" s="227"/>
      <c r="K22" s="227"/>
      <c r="L22" s="227"/>
      <c r="M22" s="227"/>
      <c r="N22" s="227"/>
      <c r="O22" s="228"/>
    </row>
    <row r="23" spans="1:15" ht="15" customHeight="1" x14ac:dyDescent="0.3">
      <c r="A23" s="8"/>
      <c r="B23" s="8"/>
      <c r="C23" s="8"/>
      <c r="D23" s="8"/>
      <c r="E23" s="9"/>
      <c r="F23" s="9"/>
      <c r="G23" s="9"/>
      <c r="H23" s="9"/>
      <c r="I23" s="9"/>
      <c r="J23" s="9"/>
      <c r="K23" s="9"/>
      <c r="L23" s="9"/>
      <c r="M23" s="9"/>
      <c r="N23" s="9"/>
      <c r="O23" s="9"/>
    </row>
    <row r="24" spans="1:15" x14ac:dyDescent="0.3">
      <c r="A24" s="8"/>
      <c r="B24" s="8"/>
      <c r="C24" s="8"/>
      <c r="D24" s="8"/>
      <c r="E24" s="9"/>
      <c r="F24" s="9"/>
      <c r="G24" s="9"/>
      <c r="H24" s="9"/>
      <c r="I24" s="9"/>
      <c r="J24" s="9"/>
      <c r="K24" s="9"/>
      <c r="L24" s="9"/>
      <c r="M24" s="9"/>
      <c r="N24" s="9"/>
      <c r="O24" s="9"/>
    </row>
    <row r="25" spans="1:15" ht="15.75" customHeight="1" x14ac:dyDescent="0.3">
      <c r="A25" s="8"/>
      <c r="B25" s="8"/>
      <c r="C25" s="8"/>
      <c r="D25" s="8"/>
      <c r="E25" s="9"/>
      <c r="F25" s="9"/>
      <c r="G25" s="9"/>
      <c r="H25" s="9"/>
      <c r="I25" s="9"/>
      <c r="J25" s="9"/>
      <c r="K25" s="9"/>
      <c r="L25" s="9"/>
      <c r="M25" s="9"/>
      <c r="N25" s="9"/>
      <c r="O25" s="9"/>
    </row>
    <row r="26" spans="1:15" ht="15.75" customHeight="1" x14ac:dyDescent="0.3">
      <c r="A26" s="8"/>
      <c r="B26" s="8"/>
      <c r="C26" s="8"/>
      <c r="D26" s="8"/>
      <c r="E26" s="9"/>
      <c r="F26" s="9"/>
      <c r="G26" s="9"/>
      <c r="H26" s="9"/>
      <c r="I26" s="9"/>
      <c r="J26" s="9"/>
      <c r="K26" s="9"/>
      <c r="L26" s="9"/>
      <c r="M26" s="9"/>
      <c r="N26" s="9"/>
      <c r="O26" s="9"/>
    </row>
    <row r="27" spans="1:15" ht="15.75" customHeight="1" x14ac:dyDescent="0.3">
      <c r="A27" s="8"/>
      <c r="B27" s="8"/>
      <c r="C27" s="8"/>
      <c r="D27" s="8"/>
      <c r="E27" s="9"/>
      <c r="F27" s="9"/>
      <c r="G27" s="9"/>
      <c r="H27" s="9"/>
      <c r="I27" s="9"/>
      <c r="J27" s="9"/>
      <c r="K27" s="9"/>
      <c r="L27" s="9"/>
      <c r="M27" s="9"/>
      <c r="N27" s="9"/>
      <c r="O27" s="9"/>
    </row>
    <row r="28" spans="1:15" ht="15.75" customHeight="1" thickBot="1" x14ac:dyDescent="0.35">
      <c r="A28" s="8"/>
      <c r="B28" s="8"/>
      <c r="C28" s="8"/>
      <c r="D28" s="8"/>
      <c r="E28" s="9"/>
      <c r="F28" s="9"/>
      <c r="G28" s="9"/>
      <c r="H28" s="9"/>
      <c r="I28" s="9"/>
      <c r="J28" s="9"/>
      <c r="K28" s="9"/>
      <c r="L28" s="9"/>
      <c r="M28" s="9"/>
      <c r="N28" s="9"/>
      <c r="O28" s="9"/>
    </row>
    <row r="29" spans="1:15" ht="15.75" customHeight="1" x14ac:dyDescent="0.3">
      <c r="A29" s="201" t="s">
        <v>83</v>
      </c>
      <c r="B29" s="202"/>
      <c r="C29" s="202"/>
      <c r="D29" s="202"/>
      <c r="E29" s="202"/>
      <c r="F29" s="202"/>
      <c r="G29" s="203"/>
      <c r="H29" s="9"/>
      <c r="I29" s="9"/>
      <c r="J29" s="9"/>
      <c r="K29" s="9"/>
      <c r="L29" s="9"/>
      <c r="M29" s="9"/>
      <c r="N29" s="9"/>
      <c r="O29" s="9"/>
    </row>
    <row r="30" spans="1:15" ht="15.75" customHeight="1" x14ac:dyDescent="0.3">
      <c r="A30" s="204"/>
      <c r="B30" s="205"/>
      <c r="C30" s="205"/>
      <c r="D30" s="205"/>
      <c r="E30" s="205"/>
      <c r="F30" s="205"/>
      <c r="G30" s="206"/>
      <c r="H30" s="9"/>
      <c r="I30" s="9"/>
      <c r="J30" s="9"/>
      <c r="K30" s="9"/>
      <c r="L30" s="9"/>
      <c r="M30" s="9"/>
      <c r="N30" s="9"/>
      <c r="O30" s="9"/>
    </row>
    <row r="31" spans="1:15" ht="15.75" customHeight="1" thickBot="1" x14ac:dyDescent="0.35">
      <c r="A31" s="207"/>
      <c r="B31" s="208"/>
      <c r="C31" s="208"/>
      <c r="D31" s="208"/>
      <c r="E31" s="208"/>
      <c r="F31" s="208"/>
      <c r="G31" s="209"/>
      <c r="H31" s="4"/>
      <c r="I31" s="4"/>
      <c r="J31" s="4"/>
      <c r="K31" s="4"/>
      <c r="L31" s="4"/>
      <c r="M31" s="4"/>
      <c r="N31" s="4"/>
      <c r="O31" s="4"/>
    </row>
    <row r="32" spans="1:15" ht="15.75" customHeight="1" thickBot="1" x14ac:dyDescent="0.35">
      <c r="A32" s="237" t="s">
        <v>81</v>
      </c>
      <c r="B32" s="238"/>
      <c r="C32" s="238"/>
      <c r="D32" s="238" t="s">
        <v>80</v>
      </c>
      <c r="E32" s="238"/>
      <c r="F32" s="252" t="s">
        <v>82</v>
      </c>
      <c r="G32" s="253"/>
      <c r="H32" s="3"/>
      <c r="I32" s="3"/>
      <c r="J32" s="3"/>
      <c r="K32" s="3"/>
      <c r="L32" s="3"/>
      <c r="M32" s="3"/>
    </row>
    <row r="33" spans="1:13" ht="15.75" customHeight="1" x14ac:dyDescent="0.3">
      <c r="A33" s="239" t="s">
        <v>39</v>
      </c>
      <c r="B33" s="240"/>
      <c r="C33" s="240"/>
      <c r="D33" s="189">
        <v>20</v>
      </c>
      <c r="E33" s="189"/>
      <c r="F33" s="189">
        <v>0.43</v>
      </c>
      <c r="G33" s="190"/>
    </row>
    <row r="34" spans="1:13" ht="15.75" customHeight="1" x14ac:dyDescent="0.3">
      <c r="A34" s="229" t="s">
        <v>40</v>
      </c>
      <c r="B34" s="230"/>
      <c r="C34" s="230"/>
      <c r="D34" s="187">
        <v>17</v>
      </c>
      <c r="E34" s="187"/>
      <c r="F34" s="187">
        <v>0.45</v>
      </c>
      <c r="G34" s="188"/>
    </row>
    <row r="35" spans="1:13" ht="15.75" customHeight="1" x14ac:dyDescent="0.3">
      <c r="A35" s="229" t="s">
        <v>7</v>
      </c>
      <c r="B35" s="230"/>
      <c r="C35" s="230"/>
      <c r="D35" s="187">
        <v>20</v>
      </c>
      <c r="E35" s="187"/>
      <c r="F35" s="187">
        <v>0.43</v>
      </c>
      <c r="G35" s="188"/>
    </row>
    <row r="36" spans="1:13" ht="15.75" customHeight="1" x14ac:dyDescent="0.3">
      <c r="A36" s="229" t="s">
        <v>8</v>
      </c>
      <c r="B36" s="230"/>
      <c r="C36" s="230"/>
      <c r="D36" s="187">
        <v>15</v>
      </c>
      <c r="E36" s="187"/>
      <c r="F36" s="187">
        <v>0.46</v>
      </c>
      <c r="G36" s="188"/>
    </row>
    <row r="37" spans="1:13" x14ac:dyDescent="0.3">
      <c r="A37" s="229" t="s">
        <v>41</v>
      </c>
      <c r="B37" s="230"/>
      <c r="C37" s="230"/>
      <c r="D37" s="187">
        <v>22</v>
      </c>
      <c r="E37" s="187"/>
      <c r="F37" s="187">
        <v>0.42</v>
      </c>
      <c r="G37" s="188"/>
    </row>
    <row r="38" spans="1:13" ht="15" customHeight="1" x14ac:dyDescent="0.3">
      <c r="A38" s="229" t="s">
        <v>9</v>
      </c>
      <c r="B38" s="230"/>
      <c r="C38" s="230"/>
      <c r="D38" s="187">
        <v>20</v>
      </c>
      <c r="E38" s="187"/>
      <c r="F38" s="187">
        <v>0.43</v>
      </c>
      <c r="G38" s="188"/>
    </row>
    <row r="39" spans="1:13" x14ac:dyDescent="0.3">
      <c r="A39" s="229" t="s">
        <v>42</v>
      </c>
      <c r="B39" s="230"/>
      <c r="C39" s="230"/>
      <c r="D39" s="187">
        <v>18</v>
      </c>
      <c r="E39" s="187"/>
      <c r="F39" s="187">
        <v>0.44</v>
      </c>
      <c r="G39" s="188"/>
    </row>
    <row r="40" spans="1:13" ht="15" thickBot="1" x14ac:dyDescent="0.35">
      <c r="A40" s="212" t="s">
        <v>43</v>
      </c>
      <c r="B40" s="213"/>
      <c r="C40" s="214"/>
      <c r="D40" s="210">
        <v>23</v>
      </c>
      <c r="E40" s="211"/>
      <c r="F40" s="191">
        <v>0.42</v>
      </c>
      <c r="G40" s="192"/>
    </row>
    <row r="41" spans="1:13" ht="15" thickBot="1" x14ac:dyDescent="0.35"/>
    <row r="42" spans="1:13" ht="15" thickBot="1" x14ac:dyDescent="0.35">
      <c r="A42" s="193" t="s">
        <v>86</v>
      </c>
      <c r="B42" s="194"/>
      <c r="C42" s="194"/>
      <c r="D42" s="194"/>
      <c r="E42" s="194"/>
      <c r="F42" s="194"/>
      <c r="G42" s="194"/>
      <c r="H42" s="194"/>
      <c r="I42" s="194"/>
      <c r="J42" s="194"/>
      <c r="K42" s="194"/>
      <c r="L42" s="194"/>
      <c r="M42" s="195"/>
    </row>
    <row r="43" spans="1:13" ht="15" thickBot="1" x14ac:dyDescent="0.35">
      <c r="A43" s="215" t="s">
        <v>20</v>
      </c>
      <c r="B43" s="216"/>
      <c r="C43" s="217"/>
      <c r="D43" s="218" t="s">
        <v>21</v>
      </c>
      <c r="E43" s="216"/>
      <c r="F43" s="216"/>
      <c r="G43" s="216"/>
      <c r="H43" s="216"/>
      <c r="I43" s="216"/>
      <c r="J43" s="216"/>
      <c r="K43" s="216"/>
      <c r="L43" s="216"/>
      <c r="M43" s="219"/>
    </row>
    <row r="44" spans="1:13" x14ac:dyDescent="0.3">
      <c r="A44" s="220" t="s">
        <v>22</v>
      </c>
      <c r="B44" s="221"/>
      <c r="C44" s="222"/>
      <c r="D44" s="223" t="s">
        <v>23</v>
      </c>
      <c r="E44" s="224"/>
      <c r="F44" s="224"/>
      <c r="G44" s="224"/>
      <c r="H44" s="224"/>
      <c r="I44" s="224"/>
      <c r="J44" s="224"/>
      <c r="K44" s="224"/>
      <c r="L44" s="224"/>
      <c r="M44" s="225"/>
    </row>
    <row r="45" spans="1:13" x14ac:dyDescent="0.3">
      <c r="A45" s="231" t="s">
        <v>24</v>
      </c>
      <c r="B45" s="232"/>
      <c r="C45" s="233"/>
      <c r="D45" s="198" t="s">
        <v>103</v>
      </c>
      <c r="E45" s="199"/>
      <c r="F45" s="199"/>
      <c r="G45" s="199"/>
      <c r="H45" s="199"/>
      <c r="I45" s="199"/>
      <c r="J45" s="199"/>
      <c r="K45" s="199"/>
      <c r="L45" s="199"/>
      <c r="M45" s="200"/>
    </row>
    <row r="46" spans="1:13" x14ac:dyDescent="0.3">
      <c r="A46" s="231" t="s">
        <v>25</v>
      </c>
      <c r="B46" s="232"/>
      <c r="C46" s="233"/>
      <c r="D46" s="198" t="s">
        <v>104</v>
      </c>
      <c r="E46" s="199"/>
      <c r="F46" s="199"/>
      <c r="G46" s="199"/>
      <c r="H46" s="199"/>
      <c r="I46" s="199"/>
      <c r="J46" s="199"/>
      <c r="K46" s="199"/>
      <c r="L46" s="199"/>
      <c r="M46" s="200"/>
    </row>
    <row r="47" spans="1:13" ht="15" customHeight="1" thickBot="1" x14ac:dyDescent="0.35">
      <c r="A47" s="234" t="s">
        <v>26</v>
      </c>
      <c r="B47" s="235"/>
      <c r="C47" s="236"/>
      <c r="D47" s="226" t="s">
        <v>105</v>
      </c>
      <c r="E47" s="227"/>
      <c r="F47" s="227"/>
      <c r="G47" s="227"/>
      <c r="H47" s="227"/>
      <c r="I47" s="227"/>
      <c r="J47" s="227"/>
      <c r="K47" s="227"/>
      <c r="L47" s="227"/>
      <c r="M47" s="228"/>
    </row>
    <row r="48" spans="1:13" ht="15" thickBot="1" x14ac:dyDescent="0.35"/>
    <row r="49" spans="1:15" ht="15" thickBot="1" x14ac:dyDescent="0.35">
      <c r="A49" s="193" t="s">
        <v>84</v>
      </c>
      <c r="B49" s="194"/>
      <c r="C49" s="194"/>
      <c r="D49" s="194"/>
      <c r="E49" s="194"/>
      <c r="F49" s="194"/>
      <c r="G49" s="194"/>
      <c r="H49" s="194"/>
      <c r="I49" s="194"/>
      <c r="J49" s="194"/>
      <c r="K49" s="194"/>
      <c r="L49" s="194"/>
      <c r="M49" s="194"/>
      <c r="N49" s="194"/>
      <c r="O49" s="195"/>
    </row>
    <row r="50" spans="1:15" ht="15" thickBot="1" x14ac:dyDescent="0.35">
      <c r="A50" s="263" t="s">
        <v>11</v>
      </c>
      <c r="B50" s="250"/>
      <c r="C50" s="250"/>
      <c r="D50" s="264"/>
      <c r="E50" s="249" t="s">
        <v>12</v>
      </c>
      <c r="F50" s="250"/>
      <c r="G50" s="250"/>
      <c r="H50" s="250"/>
      <c r="I50" s="250"/>
      <c r="J50" s="250"/>
      <c r="K50" s="250"/>
      <c r="L50" s="250"/>
      <c r="M50" s="250"/>
      <c r="N50" s="250"/>
      <c r="O50" s="251"/>
    </row>
    <row r="51" spans="1:15" x14ac:dyDescent="0.3">
      <c r="A51" s="220" t="s">
        <v>79</v>
      </c>
      <c r="B51" s="221"/>
      <c r="C51" s="221"/>
      <c r="D51" s="222"/>
      <c r="E51" s="271" t="s">
        <v>33</v>
      </c>
      <c r="F51" s="272"/>
      <c r="G51" s="272"/>
      <c r="H51" s="272"/>
      <c r="I51" s="272"/>
      <c r="J51" s="272"/>
      <c r="K51" s="272"/>
      <c r="L51" s="272"/>
      <c r="M51" s="272"/>
      <c r="N51" s="272"/>
      <c r="O51" s="273"/>
    </row>
    <row r="52" spans="1:15" x14ac:dyDescent="0.3">
      <c r="A52" s="268" t="s">
        <v>13</v>
      </c>
      <c r="B52" s="269"/>
      <c r="C52" s="269"/>
      <c r="D52" s="270"/>
      <c r="E52" s="265" t="s">
        <v>34</v>
      </c>
      <c r="F52" s="266"/>
      <c r="G52" s="266"/>
      <c r="H52" s="266"/>
      <c r="I52" s="266"/>
      <c r="J52" s="266"/>
      <c r="K52" s="266"/>
      <c r="L52" s="266"/>
      <c r="M52" s="266"/>
      <c r="N52" s="266"/>
      <c r="O52" s="267"/>
    </row>
    <row r="53" spans="1:15" x14ac:dyDescent="0.3">
      <c r="A53" s="260" t="s">
        <v>14</v>
      </c>
      <c r="B53" s="261"/>
      <c r="C53" s="261"/>
      <c r="D53" s="262"/>
      <c r="E53" s="265" t="s">
        <v>35</v>
      </c>
      <c r="F53" s="266"/>
      <c r="G53" s="266"/>
      <c r="H53" s="266"/>
      <c r="I53" s="266"/>
      <c r="J53" s="266"/>
      <c r="K53" s="266"/>
      <c r="L53" s="266"/>
      <c r="M53" s="266"/>
      <c r="N53" s="266"/>
      <c r="O53" s="267"/>
    </row>
    <row r="54" spans="1:15" ht="15" thickBot="1" x14ac:dyDescent="0.35">
      <c r="A54" s="254" t="s">
        <v>15</v>
      </c>
      <c r="B54" s="255"/>
      <c r="C54" s="255"/>
      <c r="D54" s="256"/>
      <c r="E54" s="257" t="s">
        <v>16</v>
      </c>
      <c r="F54" s="258"/>
      <c r="G54" s="258"/>
      <c r="H54" s="258"/>
      <c r="I54" s="258"/>
      <c r="J54" s="258"/>
      <c r="K54" s="258"/>
      <c r="L54" s="258"/>
      <c r="M54" s="258"/>
      <c r="N54" s="258"/>
      <c r="O54" s="259"/>
    </row>
    <row r="56" spans="1:15" ht="15" customHeight="1" x14ac:dyDescent="0.3"/>
    <row r="57" spans="1:15" ht="18" customHeight="1" x14ac:dyDescent="0.3"/>
    <row r="58" spans="1:15" ht="15.75" customHeight="1" x14ac:dyDescent="0.3"/>
    <row r="59" spans="1:15" ht="15" customHeight="1" x14ac:dyDescent="0.3"/>
    <row r="60" spans="1:15" ht="15" customHeight="1" x14ac:dyDescent="0.3"/>
    <row r="61" spans="1:15" ht="15" customHeight="1" x14ac:dyDescent="0.3"/>
    <row r="63" spans="1:15" ht="15" customHeight="1" x14ac:dyDescent="0.3"/>
    <row r="64" spans="1:15" ht="15" customHeight="1" x14ac:dyDescent="0.3"/>
    <row r="65" ht="15" customHeight="1" x14ac:dyDescent="0.3"/>
    <row r="66" ht="15.75" customHeight="1" x14ac:dyDescent="0.3"/>
    <row r="67" ht="15.75" customHeight="1" x14ac:dyDescent="0.3"/>
    <row r="77" ht="15" customHeight="1" x14ac:dyDescent="0.3"/>
    <row r="78" ht="15" customHeight="1" x14ac:dyDescent="0.3"/>
    <row r="79" ht="15" customHeight="1" x14ac:dyDescent="0.3"/>
    <row r="80" ht="15" customHeight="1" x14ac:dyDescent="0.3"/>
    <row r="81" ht="15" customHeight="1" x14ac:dyDescent="0.3"/>
    <row r="83" ht="15" customHeight="1" x14ac:dyDescent="0.3"/>
    <row r="84" ht="15" customHeight="1" x14ac:dyDescent="0.3"/>
    <row r="85" ht="15" customHeight="1" x14ac:dyDescent="0.3"/>
  </sheetData>
  <mergeCells count="101">
    <mergeCell ref="A15:B15"/>
    <mergeCell ref="C15:G15"/>
    <mergeCell ref="N11:O11"/>
    <mergeCell ref="L11:M11"/>
    <mergeCell ref="A54:D54"/>
    <mergeCell ref="E54:O54"/>
    <mergeCell ref="A53:D53"/>
    <mergeCell ref="A50:D50"/>
    <mergeCell ref="E50:O50"/>
    <mergeCell ref="E53:O53"/>
    <mergeCell ref="A52:D52"/>
    <mergeCell ref="E52:O52"/>
    <mergeCell ref="A51:D51"/>
    <mergeCell ref="E51:O51"/>
    <mergeCell ref="A8:B8"/>
    <mergeCell ref="A9:B9"/>
    <mergeCell ref="A32:C32"/>
    <mergeCell ref="D32:E32"/>
    <mergeCell ref="A33:C33"/>
    <mergeCell ref="D33:E33"/>
    <mergeCell ref="A13:B13"/>
    <mergeCell ref="A14:B14"/>
    <mergeCell ref="C8:G8"/>
    <mergeCell ref="C9:G9"/>
    <mergeCell ref="C19:O19"/>
    <mergeCell ref="C20:O20"/>
    <mergeCell ref="C22:O22"/>
    <mergeCell ref="C21:O21"/>
    <mergeCell ref="C18:O18"/>
    <mergeCell ref="F32:G32"/>
    <mergeCell ref="A46:C46"/>
    <mergeCell ref="A47:C47"/>
    <mergeCell ref="A37:C37"/>
    <mergeCell ref="D37:E37"/>
    <mergeCell ref="D46:M46"/>
    <mergeCell ref="A38:C38"/>
    <mergeCell ref="D38:E38"/>
    <mergeCell ref="A39:C39"/>
    <mergeCell ref="D39:E39"/>
    <mergeCell ref="A45:C45"/>
    <mergeCell ref="A34:C34"/>
    <mergeCell ref="D34:E34"/>
    <mergeCell ref="A35:C35"/>
    <mergeCell ref="D35:E35"/>
    <mergeCell ref="A36:C36"/>
    <mergeCell ref="D36:E36"/>
    <mergeCell ref="A1:O1"/>
    <mergeCell ref="A49:O49"/>
    <mergeCell ref="A4:B4"/>
    <mergeCell ref="A5:B5"/>
    <mergeCell ref="A6:B6"/>
    <mergeCell ref="A7:B7"/>
    <mergeCell ref="D45:M45"/>
    <mergeCell ref="A42:M42"/>
    <mergeCell ref="A29:G31"/>
    <mergeCell ref="D40:E40"/>
    <mergeCell ref="A40:C40"/>
    <mergeCell ref="A43:C43"/>
    <mergeCell ref="D43:M43"/>
    <mergeCell ref="A44:C44"/>
    <mergeCell ref="D44:M44"/>
    <mergeCell ref="D47:M47"/>
    <mergeCell ref="F34:G34"/>
    <mergeCell ref="F33:G33"/>
    <mergeCell ref="F40:G40"/>
    <mergeCell ref="F39:G39"/>
    <mergeCell ref="F38:G38"/>
    <mergeCell ref="F37:G37"/>
    <mergeCell ref="F36:G36"/>
    <mergeCell ref="F35:G35"/>
    <mergeCell ref="C4:G4"/>
    <mergeCell ref="A3:G3"/>
    <mergeCell ref="A17:O17"/>
    <mergeCell ref="N10:O10"/>
    <mergeCell ref="I11:K11"/>
    <mergeCell ref="C5:G5"/>
    <mergeCell ref="C10:G10"/>
    <mergeCell ref="C14:G14"/>
    <mergeCell ref="C13:G13"/>
    <mergeCell ref="C12:G12"/>
    <mergeCell ref="C11:G11"/>
    <mergeCell ref="C6:G6"/>
    <mergeCell ref="C7:G7"/>
    <mergeCell ref="A10:B10"/>
    <mergeCell ref="A11:B11"/>
    <mergeCell ref="A12:B12"/>
    <mergeCell ref="I6:O8"/>
    <mergeCell ref="I9:K9"/>
    <mergeCell ref="L9:M9"/>
    <mergeCell ref="N9:O9"/>
    <mergeCell ref="I10:K10"/>
    <mergeCell ref="L10:M10"/>
    <mergeCell ref="I14:K14"/>
    <mergeCell ref="L14:M14"/>
    <mergeCell ref="N14:O14"/>
    <mergeCell ref="I12:K12"/>
    <mergeCell ref="L12:M12"/>
    <mergeCell ref="N12:O12"/>
    <mergeCell ref="I13:K13"/>
    <mergeCell ref="L13:M13"/>
    <mergeCell ref="N13:O13"/>
  </mergeCells>
  <hyperlinks>
    <hyperlink ref="E54" r:id="rId1" xr:uid="{00000000-0004-0000-0500-000000000000}"/>
    <hyperlink ref="E53" r:id="rId2" xr:uid="{00000000-0004-0000-0500-000001000000}"/>
    <hyperlink ref="E52" r:id="rId3" xr:uid="{00000000-0004-0000-0500-000002000000}"/>
    <hyperlink ref="E51" r:id="rId4" location="WARM Tool V14" xr:uid="{00000000-0004-0000-0500-000003000000}"/>
  </hyperlinks>
  <pageMargins left="0.25" right="0.25" top="1.03125" bottom="0.75" header="0.3" footer="0.3"/>
  <pageSetup orientation="landscape" r:id="rId5"/>
  <headerFooter>
    <oddHeader>&amp;L&amp;G</oddHeader>
    <oddFooter>&amp;CDefinitions and assumptions, page &amp;P of &amp;N</oddFoot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vt:lpstr>
      <vt:lpstr>Input</vt:lpstr>
      <vt:lpstr>Subtotals</vt:lpstr>
      <vt:lpstr>Baseline</vt:lpstr>
      <vt:lpstr>Diversion</vt:lpstr>
      <vt:lpstr>Tax incentive</vt:lpstr>
      <vt:lpstr>Definitions</vt:lpstr>
      <vt:lpstr>Input!Print_Titles</vt:lpstr>
    </vt:vector>
  </TitlesOfParts>
  <Company>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Lynelle Ladd</dc:creator>
  <cp:lastModifiedBy>Evan</cp:lastModifiedBy>
  <cp:lastPrinted>2018-09-28T21:52:52Z</cp:lastPrinted>
  <dcterms:created xsi:type="dcterms:W3CDTF">2018-02-09T00:10:07Z</dcterms:created>
  <dcterms:modified xsi:type="dcterms:W3CDTF">2018-09-28T21:55:09Z</dcterms:modified>
</cp:coreProperties>
</file>